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755" activeTab="1"/>
  </bookViews>
  <sheets>
    <sheet name="Flexi Payment Plan" sheetId="4" r:id="rId1"/>
    <sheet name=" 30 70 Payment Plan" sheetId="3" r:id="rId2"/>
    <sheet name="30 30 40 Payment Plan" sheetId="1" r:id="rId3"/>
  </sheets>
  <calcPr calcId="152511"/>
</workbook>
</file>

<file path=xl/calcChain.xml><?xml version="1.0" encoding="utf-8"?>
<calcChain xmlns="http://schemas.openxmlformats.org/spreadsheetml/2006/main">
  <c r="E9" i="1"/>
  <c r="E8"/>
  <c r="E7"/>
  <c r="E6"/>
  <c r="E5"/>
  <c r="E4"/>
  <c r="E2"/>
  <c r="D9"/>
  <c r="D8"/>
  <c r="D7"/>
  <c r="D6"/>
  <c r="D5"/>
  <c r="D4"/>
  <c r="D2"/>
  <c r="C3" i="4" l="1"/>
  <c r="C12"/>
  <c r="E12" s="1"/>
  <c r="C10"/>
  <c r="C9"/>
  <c r="D9" s="1"/>
  <c r="E9" s="1"/>
  <c r="C8"/>
  <c r="D8" s="1"/>
  <c r="E8" s="1"/>
  <c r="C7"/>
  <c r="C6"/>
  <c r="D5"/>
  <c r="E5" s="1"/>
  <c r="C4"/>
  <c r="C19" l="1"/>
  <c r="D16"/>
  <c r="C15"/>
  <c r="D17"/>
  <c r="C16"/>
  <c r="D13"/>
  <c r="D3"/>
  <c r="D18"/>
  <c r="C17"/>
  <c r="C13"/>
  <c r="D19"/>
  <c r="C18"/>
  <c r="E18" s="1"/>
  <c r="D15"/>
  <c r="C14"/>
  <c r="C11"/>
  <c r="E4"/>
  <c r="D4"/>
  <c r="D7"/>
  <c r="E7" s="1"/>
  <c r="D6"/>
  <c r="E6" s="1"/>
  <c r="D10"/>
  <c r="E10" s="1"/>
  <c r="E15" l="1"/>
  <c r="E17"/>
  <c r="E16"/>
  <c r="D11"/>
  <c r="E11" s="1"/>
  <c r="E3"/>
  <c r="D14"/>
  <c r="E14" s="1"/>
  <c r="E13"/>
  <c r="C20"/>
  <c r="E19"/>
  <c r="D20" l="1"/>
  <c r="E20"/>
  <c r="C10" i="3" l="1"/>
  <c r="D10" s="1"/>
  <c r="E10" s="1"/>
  <c r="C9"/>
  <c r="D9" s="1"/>
  <c r="E9" s="1"/>
  <c r="C8"/>
  <c r="C7"/>
  <c r="C6"/>
  <c r="D6" s="1"/>
  <c r="E6" s="1"/>
  <c r="D5"/>
  <c r="E5" s="1"/>
  <c r="C5"/>
  <c r="C4"/>
  <c r="C3"/>
  <c r="D4" l="1"/>
  <c r="E4" s="1"/>
  <c r="D8"/>
  <c r="E8" s="1"/>
  <c r="C11"/>
  <c r="D3"/>
  <c r="D7"/>
  <c r="E7" s="1"/>
  <c r="D11" l="1"/>
  <c r="E11"/>
  <c r="E3"/>
  <c r="C5" i="1" l="1"/>
  <c r="C8" l="1"/>
  <c r="C7"/>
  <c r="C9" l="1"/>
  <c r="C6"/>
  <c r="C3"/>
  <c r="C2"/>
  <c r="D3" l="1"/>
  <c r="D10" s="1"/>
  <c r="C10"/>
  <c r="E10" s="1"/>
  <c r="F10"/>
  <c r="C18" s="1"/>
  <c r="E3" l="1"/>
  <c r="C15"/>
  <c r="C14"/>
  <c r="C13"/>
  <c r="C17"/>
  <c r="C16"/>
  <c r="C19" l="1"/>
</calcChain>
</file>

<file path=xl/sharedStrings.xml><?xml version="1.0" encoding="utf-8"?>
<sst xmlns="http://schemas.openxmlformats.org/spreadsheetml/2006/main" count="103" uniqueCount="82">
  <si>
    <t>On offer of Possession</t>
  </si>
  <si>
    <t xml:space="preserve">On application For Grant of Occupation Certificate                       </t>
  </si>
  <si>
    <t>On booking</t>
  </si>
  <si>
    <t>Price List</t>
  </si>
  <si>
    <t>Payment Plan</t>
  </si>
  <si>
    <t>Club Charges* (Per Sq.ft)</t>
  </si>
  <si>
    <t>Price</t>
  </si>
  <si>
    <t>BSP</t>
  </si>
  <si>
    <t>PLC (per Sq.ft)*</t>
  </si>
  <si>
    <t>Within 30 days</t>
  </si>
  <si>
    <t>10% of TSV less the booking amount</t>
  </si>
  <si>
    <t xml:space="preserve">Total </t>
  </si>
  <si>
    <t>IFMS (Per Sq.ft)*</t>
  </si>
  <si>
    <t>EDC &amp; IDC*</t>
  </si>
  <si>
    <t>Within 90 days</t>
  </si>
  <si>
    <t xml:space="preserve">10% of TSV  </t>
  </si>
  <si>
    <t>Within 6 months of booking                             </t>
  </si>
  <si>
    <t>10% of TSV</t>
  </si>
  <si>
    <t>On Completion of top floor roof slab</t>
  </si>
  <si>
    <t>10% of TSV + IFMS + Stamp duty &amp; Registration charges.</t>
  </si>
  <si>
    <t>Notes:</t>
  </si>
  <si>
    <t>1. External Development Charges (EDC) and Infrastructure Development Charges (IDC) are pro-rated per Unit as applicable to this Group Housing Colony. In case of any upward revision in future by the Govt. Agencies, the same would be recovered on pro-rata basis from the Applicant(s) / Allottee(s).</t>
  </si>
  <si>
    <t>2. Stamp Duty / Registration Charges shall be payable along with the last installment based on the then prevailing rates.</t>
  </si>
  <si>
    <t>5. Prices subject to revision at the sole discretion of the Company.</t>
  </si>
  <si>
    <t>6. The unit size &amp; Configuration; and additional charges mentioned are indicative and would be subject to change and applicable as  per prevailing company policies and prices</t>
  </si>
  <si>
    <t>7. If Offer of Possession is being offered &amp; few milestones were not called due to time gap, in such case all remaining milestones shall become payable alongwith Offer of Possession demand.</t>
  </si>
  <si>
    <t>*Terms &amp; conditions apply</t>
  </si>
  <si>
    <t>4. Service Tax as applicable would be payable by the customer as per demand and is extra.</t>
  </si>
  <si>
    <t>Electricity Installation Charges (Per Sq. ft)</t>
  </si>
  <si>
    <t>Power Backup Charges (Per Sq.ft)</t>
  </si>
  <si>
    <t>30% of TSV</t>
  </si>
  <si>
    <t>Car Parking Cahrges per Bay</t>
  </si>
  <si>
    <t>*Club Charges as applicable will added as per actuals</t>
  </si>
  <si>
    <t>Size</t>
  </si>
  <si>
    <t>Amount</t>
  </si>
  <si>
    <t>Service Tax</t>
  </si>
  <si>
    <t>Total Amount</t>
  </si>
  <si>
    <t>Net BSP (Per Sq.ft)</t>
  </si>
  <si>
    <t>PLC (per Sq.ft) - As applicable</t>
  </si>
  <si>
    <t>Car Parking Charges per Bay</t>
  </si>
  <si>
    <t>IFMS (Per Sq.ft)</t>
  </si>
  <si>
    <t>EDC &amp; IDC (per sq.ft)</t>
  </si>
  <si>
    <t>Milestone</t>
  </si>
  <si>
    <t>Description</t>
  </si>
  <si>
    <t>At Booking</t>
  </si>
  <si>
    <t>4% of TSV</t>
  </si>
  <si>
    <t>Within 30 days of Booking</t>
  </si>
  <si>
    <t>6% of TSV</t>
  </si>
  <si>
    <t>Within 60 days of Booking</t>
  </si>
  <si>
    <t xml:space="preserve">Within 120 days of Booking </t>
  </si>
  <si>
    <t xml:space="preserve">10% of TSV </t>
  </si>
  <si>
    <t>On Filing of application for grant of Occupancy Certificate</t>
  </si>
  <si>
    <t>60% of TSV</t>
  </si>
  <si>
    <t>Within 30 Days of Notice of Possession</t>
  </si>
  <si>
    <t xml:space="preserve">10% of TSV+ 100% of IFMS + 100% of Applicable Stamp Duty + Registration Charges + Meter Connection Charges </t>
  </si>
  <si>
    <t>Note:  If the ‘Filing of Application for Grant of Occupancy Certificate’ occurs before any of the time based instalments mentioned in the payment plan, then all such timeline based instalments shall become payable simultaneously along with the ‘On Filing of Application for Grant of Occupancy Certificate’</t>
  </si>
  <si>
    <t>M3M MARINA (PLP Payment Plan)</t>
  </si>
  <si>
    <t>2BHK</t>
  </si>
  <si>
    <t>Area - 2BHK</t>
  </si>
  <si>
    <t>Total</t>
  </si>
  <si>
    <t>Within 30 days of booking</t>
  </si>
  <si>
    <t>10% of BSP less booking amount</t>
  </si>
  <si>
    <t>Within 90 days of booking</t>
  </si>
  <si>
    <t>10% of BSP</t>
  </si>
  <si>
    <t>Within 6 months of booking</t>
  </si>
  <si>
    <t>10% of BSP + 30% of Other Charges (PLC + Car Park + Club Membership + EDC/ IDC + electricity Installation and Meter Installation Charges)</t>
  </si>
  <si>
    <t>Within 18 months of booking</t>
  </si>
  <si>
    <t>10% of BSP + 10% of Other Charges (PLC + Car Park + Club Membership + EDC/ IDC + electricity Installation and Meter Installation Charges)</t>
  </si>
  <si>
    <t>On completion of Top Floor Slab or 30 months of booking</t>
  </si>
  <si>
    <t>35% of BSP + 35% of Other Charges (PLC + Car Park + Club Membership + EDC/ IDC + electricity Installation and Meter Installation Charges)</t>
  </si>
  <si>
    <t>On Application of Occupation Certificate**</t>
  </si>
  <si>
    <t>20% of BSP + 20% of Other Charges (PLC + Car Park + Club Membership + EDC/ IDC + electricity Installation and Meter Installation Charges)</t>
  </si>
  <si>
    <t>On Notice of Possession</t>
  </si>
  <si>
    <t>5% of BSP + 5% of Other Charges (PLC + Car Park + Club Membership + EDC/ IDC + electricity Installation and Meter Installation Charges) + 100% of IFMS + Registration Charges</t>
  </si>
  <si>
    <t>TOTAL</t>
  </si>
  <si>
    <t>**If the Application for grant of Occupation Certificate is filed before any of the time based instalments mentioned in the payment plan, then all such time based instalments shall become payable simultaneously along with the filing of the Application for grant of Occupation Certificate.</t>
  </si>
  <si>
    <t>Note:</t>
  </si>
  <si>
    <t>4. Service Tax as applicable would be payable by the customer as per demand.</t>
  </si>
  <si>
    <t>*Terms &amp; Conditions apply</t>
  </si>
  <si>
    <t>Amount(in Rs.)</t>
  </si>
  <si>
    <t>Service Tax(in Rs.)</t>
  </si>
  <si>
    <t>Total Amount(in Rs.)</t>
  </si>
</sst>
</file>

<file path=xl/styles.xml><?xml version="1.0" encoding="utf-8"?>
<styleSheet xmlns="http://schemas.openxmlformats.org/spreadsheetml/2006/main">
  <numFmts count="6">
    <numFmt numFmtId="43" formatCode="_(* #,##0.00_);_(* \(#,##0.00\);_(* &quot;-&quot;??_);_(@_)"/>
    <numFmt numFmtId="164" formatCode="&quot;Rs.&quot;\ #,##0;&quot;Rs.&quot;\ \-#,##0"/>
    <numFmt numFmtId="165" formatCode="0\ &quot;Sq.ft&quot;"/>
    <numFmt numFmtId="166" formatCode="&quot;Rs.&quot;\ #,##0.00;&quot;Rs.&quot;\ \-#,##0.00"/>
    <numFmt numFmtId="167" formatCode="_(* #,##0_);_(* \(#,##0\);_(* &quot;-&quot;??_);_(@_)"/>
    <numFmt numFmtId="168" formatCode="&quot;Rs.&quot;\ #,##0.00;[Red]&quot;Rs.&quot;\ \-#,##0.00"/>
  </numFmts>
  <fonts count="13">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color theme="0"/>
      <name val="Calibri"/>
      <family val="2"/>
      <scheme val="minor"/>
    </font>
    <font>
      <b/>
      <u/>
      <sz val="11"/>
      <name val="Calibri"/>
      <family val="2"/>
      <scheme val="minor"/>
    </font>
    <font>
      <b/>
      <u/>
      <sz val="11"/>
      <color theme="1"/>
      <name val="Calibri"/>
      <family val="2"/>
      <scheme val="minor"/>
    </font>
    <font>
      <b/>
      <u/>
      <sz val="1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100">
    <xf numFmtId="0" fontId="0" fillId="0" borderId="0" xfId="0"/>
    <xf numFmtId="0" fontId="0" fillId="0" borderId="0" xfId="0" applyBorder="1"/>
    <xf numFmtId="0" fontId="0" fillId="0" borderId="0" xfId="0" applyAlignment="1">
      <alignment horizontal="center" vertical="center"/>
    </xf>
    <xf numFmtId="0" fontId="4" fillId="0" borderId="15" xfId="0" applyFont="1" applyBorder="1" applyAlignment="1">
      <alignment vertical="center" wrapText="1"/>
    </xf>
    <xf numFmtId="164" fontId="4" fillId="0" borderId="1" xfId="0" applyNumberFormat="1" applyFont="1" applyBorder="1" applyAlignment="1">
      <alignment horizontal="left"/>
    </xf>
    <xf numFmtId="164" fontId="4" fillId="0" borderId="1" xfId="0" applyNumberFormat="1" applyFont="1" applyBorder="1" applyAlignment="1">
      <alignment horizontal="center"/>
    </xf>
    <xf numFmtId="166" fontId="4" fillId="0" borderId="1" xfId="0" applyNumberFormat="1" applyFont="1" applyBorder="1" applyAlignment="1">
      <alignment horizontal="center"/>
    </xf>
    <xf numFmtId="166" fontId="4" fillId="0" borderId="12" xfId="0" applyNumberFormat="1" applyFont="1" applyBorder="1" applyAlignment="1">
      <alignment horizontal="center"/>
    </xf>
    <xf numFmtId="0" fontId="4" fillId="0" borderId="0" xfId="0" applyFont="1" applyAlignment="1">
      <alignment vertical="center" wrapText="1"/>
    </xf>
    <xf numFmtId="0" fontId="4" fillId="0" borderId="0" xfId="0" applyFont="1"/>
    <xf numFmtId="0" fontId="4" fillId="0" borderId="1" xfId="0" applyFont="1" applyBorder="1" applyAlignment="1">
      <alignment horizontal="justify" vertical="center"/>
    </xf>
    <xf numFmtId="0" fontId="4" fillId="0" borderId="1" xfId="0" applyFont="1" applyBorder="1" applyAlignment="1">
      <alignment horizontal="left"/>
    </xf>
    <xf numFmtId="164" fontId="9" fillId="0" borderId="0" xfId="0" applyNumberFormat="1" applyFont="1"/>
    <xf numFmtId="0" fontId="4" fillId="0" borderId="1" xfId="0" applyFont="1" applyBorder="1" applyAlignment="1">
      <alignment horizontal="left" wrapText="1"/>
    </xf>
    <xf numFmtId="0" fontId="4" fillId="0" borderId="1" xfId="0" applyFont="1" applyBorder="1" applyAlignment="1">
      <alignment horizontal="center" vertical="center"/>
    </xf>
    <xf numFmtId="0" fontId="6" fillId="3" borderId="13" xfId="0" applyFont="1" applyFill="1" applyBorder="1" applyAlignment="1">
      <alignment vertical="center" wrapText="1"/>
    </xf>
    <xf numFmtId="0" fontId="6" fillId="3" borderId="14" xfId="0" applyFont="1" applyFill="1" applyBorder="1" applyAlignment="1">
      <alignment vertical="center" wrapText="1"/>
    </xf>
    <xf numFmtId="0" fontId="6" fillId="3" borderId="8" xfId="0" applyFont="1" applyFill="1" applyBorder="1" applyAlignment="1">
      <alignment horizontal="center" vertical="center"/>
    </xf>
    <xf numFmtId="165" fontId="1" fillId="3" borderId="8"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6" fillId="0" borderId="10" xfId="0" applyFont="1" applyBorder="1" applyAlignment="1">
      <alignment horizontal="justify" vertical="center"/>
    </xf>
    <xf numFmtId="0" fontId="6" fillId="0" borderId="10" xfId="0" applyFont="1" applyBorder="1"/>
    <xf numFmtId="0" fontId="6" fillId="0" borderId="13" xfId="0" applyFont="1" applyBorder="1" applyAlignment="1">
      <alignment vertical="center" wrapText="1"/>
    </xf>
    <xf numFmtId="0" fontId="6" fillId="3" borderId="9" xfId="0" applyFont="1" applyFill="1" applyBorder="1" applyAlignment="1">
      <alignment horizontal="center"/>
    </xf>
    <xf numFmtId="0" fontId="5" fillId="3" borderId="1" xfId="0" applyFont="1" applyFill="1" applyBorder="1" applyAlignment="1">
      <alignment horizontal="center"/>
    </xf>
    <xf numFmtId="0" fontId="6" fillId="0" borderId="0" xfId="0" applyFont="1"/>
    <xf numFmtId="0" fontId="1" fillId="0" borderId="0" xfId="0" applyFont="1"/>
    <xf numFmtId="164" fontId="6" fillId="0" borderId="0" xfId="0" applyNumberFormat="1" applyFont="1"/>
    <xf numFmtId="0" fontId="6" fillId="0" borderId="1" xfId="0" applyFont="1" applyBorder="1" applyAlignment="1">
      <alignment horizontal="left" vertical="center"/>
    </xf>
    <xf numFmtId="0" fontId="6" fillId="0" borderId="1" xfId="0" applyFont="1" applyBorder="1" applyAlignment="1">
      <alignment horizontal="justify" vertical="center"/>
    </xf>
    <xf numFmtId="0" fontId="6" fillId="0" borderId="1" xfId="0" applyFont="1" applyBorder="1" applyAlignment="1">
      <alignment horizontal="left"/>
    </xf>
    <xf numFmtId="167" fontId="4" fillId="0" borderId="1" xfId="1" applyNumberFormat="1" applyFont="1" applyBorder="1" applyAlignment="1">
      <alignment horizontal="center"/>
    </xf>
    <xf numFmtId="167" fontId="6" fillId="0" borderId="1" xfId="1" applyNumberFormat="1" applyFont="1" applyBorder="1" applyAlignment="1"/>
    <xf numFmtId="167" fontId="4" fillId="0" borderId="1" xfId="1" applyNumberFormat="1" applyFont="1" applyBorder="1" applyAlignment="1">
      <alignment horizontal="right" vertical="center"/>
    </xf>
    <xf numFmtId="167" fontId="4" fillId="0" borderId="1" xfId="1" applyNumberFormat="1" applyFont="1" applyBorder="1" applyAlignment="1">
      <alignment horizontal="center" vertical="center"/>
    </xf>
    <xf numFmtId="167" fontId="4" fillId="0" borderId="1" xfId="1" applyNumberFormat="1" applyFont="1" applyBorder="1" applyAlignment="1">
      <alignment vertical="center"/>
    </xf>
    <xf numFmtId="0" fontId="0" fillId="2" borderId="0" xfId="0" applyFill="1" applyAlignment="1">
      <alignment horizontal="center" vertical="center"/>
    </xf>
    <xf numFmtId="0" fontId="0" fillId="4" borderId="0" xfId="0" applyFill="1" applyAlignment="1">
      <alignment horizontal="center" vertical="center"/>
    </xf>
    <xf numFmtId="0" fontId="0" fillId="4" borderId="0" xfId="0" applyFill="1" applyBorder="1"/>
    <xf numFmtId="0" fontId="0" fillId="4" borderId="0" xfId="0" applyFill="1"/>
    <xf numFmtId="164" fontId="4" fillId="0" borderId="1" xfId="0" applyNumberFormat="1"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4" fillId="4" borderId="0" xfId="0" applyFont="1" applyFill="1" applyAlignment="1">
      <alignment vertical="center"/>
    </xf>
    <xf numFmtId="0" fontId="6" fillId="0" borderId="24" xfId="0" applyFont="1" applyBorder="1" applyAlignment="1">
      <alignment vertical="center" wrapText="1"/>
    </xf>
    <xf numFmtId="0" fontId="4" fillId="0" borderId="9" xfId="0" applyFont="1" applyBorder="1" applyAlignment="1">
      <alignment vertical="center" wrapText="1"/>
    </xf>
    <xf numFmtId="167" fontId="8" fillId="0" borderId="1" xfId="1" applyNumberFormat="1" applyFont="1" applyBorder="1" applyAlignment="1">
      <alignment horizontal="left" vertical="center"/>
    </xf>
    <xf numFmtId="0" fontId="4" fillId="0" borderId="11" xfId="0" applyFont="1" applyBorder="1" applyAlignment="1">
      <alignment horizontal="justify" vertical="center"/>
    </xf>
    <xf numFmtId="164" fontId="4" fillId="0" borderId="11" xfId="0" applyNumberFormat="1" applyFont="1" applyBorder="1" applyAlignment="1">
      <alignment horizontal="left" vertical="center"/>
    </xf>
    <xf numFmtId="167" fontId="4" fillId="0" borderId="11" xfId="1" applyNumberFormat="1" applyFont="1" applyBorder="1" applyAlignment="1">
      <alignment vertical="center"/>
    </xf>
    <xf numFmtId="0" fontId="6" fillId="3" borderId="8" xfId="0" applyFont="1" applyFill="1" applyBorder="1" applyAlignment="1">
      <alignment vertical="center"/>
    </xf>
    <xf numFmtId="165" fontId="6" fillId="3" borderId="8" xfId="0" applyNumberFormat="1" applyFont="1" applyFill="1" applyBorder="1" applyAlignment="1">
      <alignment vertical="center"/>
    </xf>
    <xf numFmtId="0" fontId="4" fillId="3" borderId="27" xfId="0" applyFont="1" applyFill="1" applyBorder="1" applyAlignment="1">
      <alignment vertical="center"/>
    </xf>
    <xf numFmtId="0" fontId="5" fillId="3" borderId="28" xfId="0" applyFont="1" applyFill="1" applyBorder="1" applyAlignment="1">
      <alignment vertical="center"/>
    </xf>
    <xf numFmtId="0" fontId="5" fillId="3" borderId="29" xfId="0" applyFont="1" applyFill="1" applyBorder="1" applyAlignment="1">
      <alignment vertical="center"/>
    </xf>
    <xf numFmtId="0" fontId="4" fillId="0" borderId="30" xfId="0" applyFont="1" applyBorder="1" applyAlignment="1">
      <alignment vertical="center"/>
    </xf>
    <xf numFmtId="164" fontId="4" fillId="0" borderId="30" xfId="0" applyNumberFormat="1" applyFont="1" applyBorder="1" applyAlignment="1">
      <alignment horizontal="left" vertical="center"/>
    </xf>
    <xf numFmtId="167" fontId="4" fillId="0" borderId="30" xfId="1" applyNumberFormat="1" applyFont="1" applyBorder="1" applyAlignment="1">
      <alignment vertical="center"/>
    </xf>
    <xf numFmtId="0" fontId="8" fillId="0" borderId="11" xfId="0" applyFont="1" applyBorder="1" applyAlignment="1">
      <alignment horizontal="left" vertical="center" wrapText="1"/>
    </xf>
    <xf numFmtId="168" fontId="8" fillId="0" borderId="11" xfId="0" applyNumberFormat="1" applyFont="1" applyBorder="1" applyAlignment="1">
      <alignment horizontal="left" vertical="center" wrapText="1"/>
    </xf>
    <xf numFmtId="167" fontId="8" fillId="0" borderId="11" xfId="1" applyNumberFormat="1" applyFont="1" applyBorder="1" applyAlignment="1">
      <alignment horizontal="left" vertical="center"/>
    </xf>
    <xf numFmtId="167" fontId="5" fillId="3" borderId="31" xfId="1" applyNumberFormat="1" applyFont="1" applyFill="1" applyBorder="1" applyAlignment="1">
      <alignment horizontal="center" vertical="center"/>
    </xf>
    <xf numFmtId="167" fontId="5" fillId="3" borderId="32" xfId="1" applyNumberFormat="1" applyFont="1" applyFill="1" applyBorder="1" applyAlignment="1">
      <alignment horizontal="center" vertical="center"/>
    </xf>
    <xf numFmtId="167" fontId="4" fillId="0" borderId="12" xfId="1" applyNumberFormat="1" applyFont="1" applyBorder="1" applyAlignment="1">
      <alignment horizont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4" xfId="0" applyFont="1" applyBorder="1" applyAlignment="1">
      <alignment vertical="center" wrapText="1"/>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22" xfId="0" applyFont="1" applyFill="1" applyBorder="1" applyAlignment="1">
      <alignment horizontal="center" vertical="center"/>
    </xf>
    <xf numFmtId="0" fontId="4" fillId="0" borderId="26" xfId="0" applyFont="1" applyBorder="1" applyAlignment="1">
      <alignment horizontal="center" vertical="center" wrapText="1"/>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164" fontId="5" fillId="3" borderId="1" xfId="0" applyNumberFormat="1" applyFont="1" applyFill="1" applyBorder="1" applyAlignment="1">
      <alignment horizontal="center" vertical="center"/>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4" xfId="0" applyFont="1" applyBorder="1" applyAlignment="1">
      <alignment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3" borderId="2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3"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67" fontId="5" fillId="3" borderId="1" xfId="1"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C8E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workbookViewId="0">
      <selection activeCell="C4" sqref="C4"/>
    </sheetView>
  </sheetViews>
  <sheetFormatPr defaultRowHeight="15"/>
  <cols>
    <col min="1" max="1" width="74.140625" bestFit="1" customWidth="1"/>
    <col min="2" max="2" width="49.140625" customWidth="1"/>
    <col min="3" max="3" width="13.85546875" bestFit="1" customWidth="1"/>
    <col min="4" max="4" width="14.85546875" bestFit="1" customWidth="1"/>
    <col min="5" max="5" width="16.42578125" bestFit="1" customWidth="1"/>
    <col min="6" max="6" width="12.140625" customWidth="1"/>
  </cols>
  <sheetData>
    <row r="1" spans="1:9">
      <c r="A1" s="69" t="s">
        <v>3</v>
      </c>
      <c r="B1" s="70"/>
      <c r="C1" s="51" t="s">
        <v>33</v>
      </c>
      <c r="D1" s="52">
        <v>1304</v>
      </c>
      <c r="E1" s="53"/>
      <c r="F1" s="39"/>
      <c r="G1" s="40"/>
      <c r="H1" s="40"/>
      <c r="I1" s="40"/>
    </row>
    <row r="2" spans="1:9" ht="15.75" thickBot="1">
      <c r="A2" s="71"/>
      <c r="B2" s="72"/>
      <c r="C2" s="54" t="s">
        <v>79</v>
      </c>
      <c r="D2" s="54" t="s">
        <v>80</v>
      </c>
      <c r="E2" s="55" t="s">
        <v>81</v>
      </c>
      <c r="F2" s="40"/>
      <c r="G2" s="40"/>
      <c r="H2" s="40"/>
      <c r="I2" s="40"/>
    </row>
    <row r="3" spans="1:9">
      <c r="A3" s="48" t="s">
        <v>37</v>
      </c>
      <c r="B3" s="49">
        <v>6600</v>
      </c>
      <c r="C3" s="50">
        <f>B3*$D$1</f>
        <v>8606400</v>
      </c>
      <c r="D3" s="50">
        <f>C3*3.708%</f>
        <v>319125.31200000003</v>
      </c>
      <c r="E3" s="50">
        <f>C3+D3</f>
        <v>8925525.3120000008</v>
      </c>
      <c r="F3" s="40"/>
      <c r="G3" s="40"/>
      <c r="H3" s="40"/>
      <c r="I3" s="40"/>
    </row>
    <row r="4" spans="1:9">
      <c r="A4" s="10" t="s">
        <v>38</v>
      </c>
      <c r="B4" s="41">
        <v>500</v>
      </c>
      <c r="C4" s="36">
        <f>B4*$D$1</f>
        <v>652000</v>
      </c>
      <c r="D4" s="36">
        <f>C4*12.36%</f>
        <v>80587.199999999997</v>
      </c>
      <c r="E4" s="36">
        <f t="shared" ref="E4:E19" si="0">C4+D4</f>
        <v>732587.2</v>
      </c>
      <c r="F4" s="40"/>
      <c r="G4" s="40"/>
      <c r="H4" s="40"/>
      <c r="I4" s="40"/>
    </row>
    <row r="5" spans="1:9">
      <c r="A5" s="10" t="s">
        <v>5</v>
      </c>
      <c r="B5" s="41">
        <v>350000</v>
      </c>
      <c r="C5" s="34">
        <v>350000</v>
      </c>
      <c r="D5" s="36">
        <f>C5*12.36%</f>
        <v>43259.999999999993</v>
      </c>
      <c r="E5" s="36">
        <f t="shared" si="0"/>
        <v>393260</v>
      </c>
      <c r="F5" s="40"/>
      <c r="G5" s="40"/>
      <c r="H5" s="40"/>
      <c r="I5" s="40"/>
    </row>
    <row r="6" spans="1:9">
      <c r="A6" s="10" t="s">
        <v>39</v>
      </c>
      <c r="B6" s="41">
        <v>500000</v>
      </c>
      <c r="C6" s="36">
        <f>B6</f>
        <v>500000</v>
      </c>
      <c r="D6" s="36">
        <f>C6*3.708%</f>
        <v>18540</v>
      </c>
      <c r="E6" s="36">
        <f t="shared" si="0"/>
        <v>518540</v>
      </c>
      <c r="F6" s="40"/>
      <c r="G6" s="40"/>
      <c r="H6" s="40"/>
      <c r="I6" s="40"/>
    </row>
    <row r="7" spans="1:9">
      <c r="A7" s="10" t="s">
        <v>40</v>
      </c>
      <c r="B7" s="41">
        <v>125</v>
      </c>
      <c r="C7" s="36">
        <f>B7*$D$1</f>
        <v>163000</v>
      </c>
      <c r="D7" s="36">
        <f>C7*0%</f>
        <v>0</v>
      </c>
      <c r="E7" s="36">
        <f t="shared" si="0"/>
        <v>163000</v>
      </c>
      <c r="F7" s="40"/>
      <c r="G7" s="40"/>
      <c r="H7" s="40"/>
      <c r="I7" s="40"/>
    </row>
    <row r="8" spans="1:9">
      <c r="A8" s="10" t="s">
        <v>28</v>
      </c>
      <c r="B8" s="41">
        <v>45</v>
      </c>
      <c r="C8" s="36">
        <f>B8*$D$1</f>
        <v>58680</v>
      </c>
      <c r="D8" s="36">
        <f>C8*12.36%</f>
        <v>7252.847999999999</v>
      </c>
      <c r="E8" s="36">
        <f>C8+D8</f>
        <v>65932.847999999998</v>
      </c>
      <c r="F8" s="40"/>
      <c r="G8" s="40"/>
      <c r="H8" s="40"/>
      <c r="I8" s="40"/>
    </row>
    <row r="9" spans="1:9">
      <c r="A9" s="10" t="s">
        <v>29</v>
      </c>
      <c r="B9" s="41">
        <v>40</v>
      </c>
      <c r="C9" s="36">
        <f>B9*$D$1</f>
        <v>52160</v>
      </c>
      <c r="D9" s="36">
        <f>C9*12.36%</f>
        <v>6446.9759999999997</v>
      </c>
      <c r="E9" s="36">
        <f>C9+D9</f>
        <v>58606.976000000002</v>
      </c>
      <c r="F9" s="40"/>
      <c r="G9" s="40"/>
      <c r="H9" s="40"/>
      <c r="I9" s="40"/>
    </row>
    <row r="10" spans="1:9" ht="15.75" thickBot="1">
      <c r="A10" s="56" t="s">
        <v>41</v>
      </c>
      <c r="B10" s="57">
        <v>430</v>
      </c>
      <c r="C10" s="58">
        <f>B10*$D$1</f>
        <v>560720</v>
      </c>
      <c r="D10" s="58">
        <f t="shared" ref="D10" si="1">C10*0%</f>
        <v>0</v>
      </c>
      <c r="E10" s="58">
        <f t="shared" si="0"/>
        <v>560720</v>
      </c>
      <c r="F10" s="40"/>
      <c r="G10" s="40"/>
      <c r="H10" s="40"/>
      <c r="I10" s="40"/>
    </row>
    <row r="11" spans="1:9" s="37" customFormat="1" ht="23.25" customHeight="1" thickBot="1">
      <c r="A11" s="74" t="s">
        <v>4</v>
      </c>
      <c r="B11" s="75"/>
      <c r="C11" s="62">
        <f>SUM(C3:C10)</f>
        <v>10942960</v>
      </c>
      <c r="D11" s="62">
        <f>SUM(D3:D10)</f>
        <v>475212.33600000007</v>
      </c>
      <c r="E11" s="63">
        <f t="shared" si="0"/>
        <v>11418172.335999999</v>
      </c>
      <c r="F11" s="38"/>
      <c r="G11" s="38"/>
      <c r="H11" s="38"/>
      <c r="I11" s="38"/>
    </row>
    <row r="12" spans="1:9">
      <c r="A12" s="59" t="s">
        <v>2</v>
      </c>
      <c r="B12" s="60">
        <v>500000</v>
      </c>
      <c r="C12" s="61">
        <f>B12</f>
        <v>500000</v>
      </c>
      <c r="D12" s="61">
        <v>0</v>
      </c>
      <c r="E12" s="61">
        <f t="shared" si="0"/>
        <v>500000</v>
      </c>
      <c r="F12" s="40"/>
      <c r="G12" s="40"/>
      <c r="H12" s="40"/>
      <c r="I12" s="40"/>
    </row>
    <row r="13" spans="1:9">
      <c r="A13" s="43" t="s">
        <v>60</v>
      </c>
      <c r="B13" s="43" t="s">
        <v>61</v>
      </c>
      <c r="C13" s="47">
        <f>10%*($C$3)-C12</f>
        <v>360640</v>
      </c>
      <c r="D13" s="47">
        <f>10%*C3*3.708%</f>
        <v>31912.531200000001</v>
      </c>
      <c r="E13" s="47">
        <f t="shared" si="0"/>
        <v>392552.53120000003</v>
      </c>
      <c r="F13" s="40"/>
      <c r="G13" s="40"/>
      <c r="H13" s="40"/>
      <c r="I13" s="40"/>
    </row>
    <row r="14" spans="1:9">
      <c r="A14" s="43" t="s">
        <v>62</v>
      </c>
      <c r="B14" s="43" t="s">
        <v>63</v>
      </c>
      <c r="C14" s="47">
        <f>10%*($C$3)</f>
        <v>860640</v>
      </c>
      <c r="D14" s="47">
        <f>C14*3.708%</f>
        <v>31912.531200000001</v>
      </c>
      <c r="E14" s="47">
        <f t="shared" si="0"/>
        <v>892552.53119999997</v>
      </c>
      <c r="F14" s="40"/>
      <c r="G14" s="40"/>
      <c r="H14" s="40"/>
      <c r="I14" s="40"/>
    </row>
    <row r="15" spans="1:9" ht="38.25">
      <c r="A15" s="43" t="s">
        <v>64</v>
      </c>
      <c r="B15" s="42" t="s">
        <v>65</v>
      </c>
      <c r="C15" s="47">
        <f>10%*($C$3)+30%*($C$4+$C$6+$C$5+$C$10+$C$8+$C$9)</f>
        <v>1512708</v>
      </c>
      <c r="D15" s="47">
        <f>10%*$C$3*3.708%+30%*$C$4*12.36%+30%*$C$6*3.708%+30%*$C$5*12.36%+30%*($C$8+$C$9)*3.708%</f>
        <v>75861.675359999994</v>
      </c>
      <c r="E15" s="47">
        <f t="shared" si="0"/>
        <v>1588569.67536</v>
      </c>
      <c r="F15" s="40"/>
      <c r="G15" s="40"/>
      <c r="H15" s="40"/>
      <c r="I15" s="40"/>
    </row>
    <row r="16" spans="1:9" ht="38.25">
      <c r="A16" s="43" t="s">
        <v>66</v>
      </c>
      <c r="B16" s="42" t="s">
        <v>67</v>
      </c>
      <c r="C16" s="47">
        <f>10%*($C$3)+10%*($C$4+$C$6+$C$5+$C$10+$C$8+$C$9)</f>
        <v>1077996</v>
      </c>
      <c r="D16" s="47">
        <f>10%*$C$3*3.708%+10%*$C$4*12.36%+10%*$C$6*3.708%+10%*$C$5*12.36%+10%*($C$8+$C$9)*3.708%</f>
        <v>46562.245920000001</v>
      </c>
      <c r="E16" s="47">
        <f t="shared" si="0"/>
        <v>1124558.2459199999</v>
      </c>
      <c r="F16" s="40"/>
      <c r="G16" s="40"/>
      <c r="H16" s="40"/>
      <c r="I16" s="40"/>
    </row>
    <row r="17" spans="1:9" ht="38.25">
      <c r="A17" s="43" t="s">
        <v>68</v>
      </c>
      <c r="B17" s="42" t="s">
        <v>69</v>
      </c>
      <c r="C17" s="47">
        <f>35%*($C$3)+35%*($C$4+$C$6+$C$5+$C$10+$C$8+$C$9)</f>
        <v>3772986</v>
      </c>
      <c r="D17" s="47">
        <f>35%*$C$3*3.708%+35%*$C$4*12.36%+35%*$C$6*3.708%+35%*$C$5*12.36%+35%*($C$8+$C$9)*3.708%</f>
        <v>162967.86072</v>
      </c>
      <c r="E17" s="47">
        <f t="shared" si="0"/>
        <v>3935953.8607200002</v>
      </c>
      <c r="F17" s="40"/>
      <c r="G17" s="40"/>
      <c r="H17" s="40"/>
      <c r="I17" s="40"/>
    </row>
    <row r="18" spans="1:9" ht="38.25">
      <c r="A18" s="42" t="s">
        <v>70</v>
      </c>
      <c r="B18" s="42" t="s">
        <v>71</v>
      </c>
      <c r="C18" s="47">
        <f>20%*($C$3)+20%*($C$4+$C$6+$C$5+$C$10+$C$8+$C$9)</f>
        <v>2155992</v>
      </c>
      <c r="D18" s="47">
        <f>20%*$C$3*3.708%+20%*$C$4*12.36%+20%*$C$6*3.708%+20%*$C$5*12.36%+20%*($C$8+$C$9)*3.708%</f>
        <v>93124.491840000002</v>
      </c>
      <c r="E18" s="47">
        <f t="shared" si="0"/>
        <v>2249116.4918399998</v>
      </c>
      <c r="F18" s="40"/>
      <c r="G18" s="40"/>
      <c r="H18" s="40"/>
      <c r="I18" s="40"/>
    </row>
    <row r="19" spans="1:9" ht="39" thickBot="1">
      <c r="A19" s="43" t="s">
        <v>72</v>
      </c>
      <c r="B19" s="42" t="s">
        <v>73</v>
      </c>
      <c r="C19" s="47">
        <f>5%*($C$3)+5%*($C$4+$C$6+$C$5+$C$10+$C$8+$C$9)+C7</f>
        <v>701998</v>
      </c>
      <c r="D19" s="47">
        <f>5%*$C$3*3.708%+5%*$C$4*12.36%+5%*$C$6*3.708%+5%*$C$5*12.36%+5%*($C$8+$C$9)*3.708%</f>
        <v>23281.122960000001</v>
      </c>
      <c r="E19" s="47">
        <f t="shared" si="0"/>
        <v>725279.12295999995</v>
      </c>
      <c r="F19" s="40"/>
      <c r="G19" s="40"/>
      <c r="H19" s="40"/>
      <c r="I19" s="40"/>
    </row>
    <row r="20" spans="1:9" ht="25.5" customHeight="1" thickBot="1">
      <c r="A20" s="74" t="s">
        <v>74</v>
      </c>
      <c r="B20" s="75"/>
      <c r="C20" s="62">
        <f>SUM(C12:C19)</f>
        <v>10942960</v>
      </c>
      <c r="D20" s="62">
        <f>SUM(D12:D19)</f>
        <v>465622.45919999998</v>
      </c>
      <c r="E20" s="63">
        <f>SUM(E12:E19)</f>
        <v>11408582.459199999</v>
      </c>
      <c r="F20" s="40"/>
      <c r="G20" s="40"/>
      <c r="H20" s="40"/>
      <c r="I20" s="40"/>
    </row>
    <row r="21" spans="1:9" ht="35.25" customHeight="1" thickBot="1">
      <c r="A21" s="73" t="s">
        <v>75</v>
      </c>
      <c r="B21" s="73"/>
      <c r="C21" s="44"/>
      <c r="D21" s="44"/>
      <c r="E21" s="44"/>
      <c r="F21" s="40"/>
      <c r="G21" s="40"/>
      <c r="H21" s="40"/>
      <c r="I21" s="40"/>
    </row>
    <row r="22" spans="1:9">
      <c r="A22" s="45" t="s">
        <v>76</v>
      </c>
      <c r="B22" s="46"/>
      <c r="C22" s="44"/>
      <c r="D22" s="44"/>
      <c r="E22" s="44"/>
      <c r="F22" s="40"/>
      <c r="G22" s="40"/>
      <c r="H22" s="40"/>
      <c r="I22" s="40"/>
    </row>
    <row r="23" spans="1:9" ht="32.25" customHeight="1">
      <c r="A23" s="76" t="s">
        <v>21</v>
      </c>
      <c r="B23" s="77"/>
      <c r="C23" s="44"/>
      <c r="D23" s="44"/>
      <c r="E23" s="44"/>
      <c r="F23" s="40"/>
      <c r="G23" s="40"/>
      <c r="H23" s="40"/>
      <c r="I23" s="40"/>
    </row>
    <row r="24" spans="1:9">
      <c r="A24" s="65" t="s">
        <v>22</v>
      </c>
      <c r="B24" s="66"/>
      <c r="C24" s="44"/>
      <c r="D24" s="44"/>
      <c r="E24" s="44"/>
      <c r="F24" s="40"/>
      <c r="G24" s="40"/>
      <c r="H24" s="40"/>
      <c r="I24" s="40"/>
    </row>
    <row r="25" spans="1:9">
      <c r="A25" s="65" t="s">
        <v>77</v>
      </c>
      <c r="B25" s="66"/>
      <c r="C25" s="44"/>
      <c r="D25" s="44"/>
      <c r="E25" s="44"/>
      <c r="F25" s="40"/>
      <c r="G25" s="40"/>
      <c r="H25" s="40"/>
      <c r="I25" s="40"/>
    </row>
    <row r="26" spans="1:9">
      <c r="A26" s="65" t="s">
        <v>23</v>
      </c>
      <c r="B26" s="66"/>
      <c r="C26" s="44"/>
      <c r="D26" s="44"/>
      <c r="E26" s="44"/>
      <c r="F26" s="40"/>
      <c r="G26" s="40"/>
      <c r="H26" s="40"/>
      <c r="I26" s="40"/>
    </row>
    <row r="27" spans="1:9" ht="15.75" thickBot="1">
      <c r="A27" s="67" t="s">
        <v>78</v>
      </c>
      <c r="B27" s="68"/>
      <c r="C27" s="44"/>
      <c r="D27" s="44"/>
      <c r="E27" s="44"/>
      <c r="F27" s="40"/>
    </row>
    <row r="28" spans="1:9">
      <c r="A28" s="40"/>
      <c r="B28" s="40"/>
      <c r="C28" s="40"/>
      <c r="D28" s="40"/>
      <c r="E28" s="40"/>
      <c r="F28" s="40"/>
    </row>
    <row r="29" spans="1:9">
      <c r="A29" s="40"/>
      <c r="B29" s="40"/>
      <c r="C29" s="40"/>
      <c r="D29" s="40"/>
      <c r="E29" s="40"/>
      <c r="F29" s="40"/>
    </row>
    <row r="30" spans="1:9">
      <c r="A30" s="40"/>
      <c r="B30" s="40"/>
      <c r="C30" s="40"/>
      <c r="D30" s="40"/>
      <c r="E30" s="40"/>
      <c r="F30" s="40"/>
    </row>
    <row r="31" spans="1:9">
      <c r="A31" s="40"/>
      <c r="B31" s="40"/>
      <c r="C31" s="40"/>
      <c r="D31" s="40"/>
      <c r="E31" s="40"/>
      <c r="F31" s="40"/>
    </row>
    <row r="32" spans="1:9">
      <c r="A32" s="40"/>
      <c r="B32" s="40"/>
      <c r="C32" s="40"/>
      <c r="D32" s="40"/>
      <c r="E32" s="40"/>
      <c r="F32" s="40"/>
    </row>
    <row r="33" spans="1:6">
      <c r="A33" s="40"/>
      <c r="B33" s="40"/>
      <c r="C33" s="40"/>
      <c r="D33" s="40"/>
      <c r="E33" s="40"/>
      <c r="F33" s="40"/>
    </row>
    <row r="34" spans="1:6">
      <c r="A34" s="40"/>
      <c r="B34" s="40"/>
      <c r="C34" s="40"/>
      <c r="D34" s="40"/>
      <c r="E34" s="40"/>
      <c r="F34" s="40"/>
    </row>
    <row r="35" spans="1:6">
      <c r="A35" s="40"/>
      <c r="B35" s="40"/>
      <c r="C35" s="40"/>
      <c r="D35" s="40"/>
      <c r="E35" s="40"/>
      <c r="F35" s="40"/>
    </row>
    <row r="36" spans="1:6">
      <c r="A36" s="40"/>
      <c r="B36" s="40"/>
      <c r="C36" s="40"/>
      <c r="D36" s="40"/>
      <c r="E36" s="40"/>
      <c r="F36" s="40"/>
    </row>
    <row r="37" spans="1:6">
      <c r="A37" s="40"/>
      <c r="B37" s="40"/>
      <c r="C37" s="40"/>
    </row>
    <row r="38" spans="1:6">
      <c r="A38" s="40"/>
      <c r="B38" s="40"/>
      <c r="C38" s="40"/>
    </row>
    <row r="39" spans="1:6">
      <c r="A39" s="40"/>
      <c r="B39" s="40"/>
      <c r="C39" s="40"/>
    </row>
    <row r="40" spans="1:6">
      <c r="A40" s="40"/>
      <c r="B40" s="40"/>
      <c r="C40" s="40"/>
    </row>
    <row r="41" spans="1:6">
      <c r="A41" s="40"/>
      <c r="B41" s="40"/>
      <c r="C41" s="40"/>
    </row>
  </sheetData>
  <mergeCells count="9">
    <mergeCell ref="A26:B26"/>
    <mergeCell ref="A27:B27"/>
    <mergeCell ref="A1:B2"/>
    <mergeCell ref="A21:B21"/>
    <mergeCell ref="A11:B11"/>
    <mergeCell ref="A20:B20"/>
    <mergeCell ref="A23:B23"/>
    <mergeCell ref="A24:B24"/>
    <mergeCell ref="A25:B25"/>
  </mergeCells>
  <pageMargins left="0.7" right="0.7" top="0.75" bottom="0.75" header="0.3" footer="0.3"/>
  <pageSetup paperSize="9" scale="7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21"/>
  <sheetViews>
    <sheetView tabSelected="1" workbookViewId="0">
      <selection activeCell="C4" sqref="C4"/>
    </sheetView>
  </sheetViews>
  <sheetFormatPr defaultRowHeight="15"/>
  <cols>
    <col min="1" max="1" width="57.7109375" customWidth="1"/>
    <col min="2" max="2" width="49.140625" customWidth="1"/>
    <col min="3" max="4" width="13.85546875" bestFit="1" customWidth="1"/>
    <col min="5" max="5" width="16.42578125" bestFit="1" customWidth="1"/>
    <col min="6" max="6" width="12.140625" customWidth="1"/>
  </cols>
  <sheetData>
    <row r="1" spans="1:6">
      <c r="A1" s="83" t="s">
        <v>3</v>
      </c>
      <c r="B1" s="84"/>
      <c r="C1" s="17" t="s">
        <v>33</v>
      </c>
      <c r="D1" s="18">
        <v>1304</v>
      </c>
      <c r="E1" s="24" t="s">
        <v>57</v>
      </c>
      <c r="F1" s="1"/>
    </row>
    <row r="2" spans="1:6">
      <c r="A2" s="85"/>
      <c r="B2" s="86"/>
      <c r="C2" s="19" t="s">
        <v>34</v>
      </c>
      <c r="D2" s="19" t="s">
        <v>35</v>
      </c>
      <c r="E2" s="20" t="s">
        <v>36</v>
      </c>
    </row>
    <row r="3" spans="1:6">
      <c r="A3" s="21" t="s">
        <v>37</v>
      </c>
      <c r="B3" s="4">
        <v>7050</v>
      </c>
      <c r="C3" s="5">
        <f>B3*$D$1</f>
        <v>9193200</v>
      </c>
      <c r="D3" s="6">
        <f>C3*3.708%</f>
        <v>340883.85600000003</v>
      </c>
      <c r="E3" s="7">
        <f>C3+D3</f>
        <v>9534083.8560000006</v>
      </c>
    </row>
    <row r="4" spans="1:6">
      <c r="A4" s="21" t="s">
        <v>38</v>
      </c>
      <c r="B4" s="4">
        <v>500</v>
      </c>
      <c r="C4" s="5">
        <f t="shared" ref="C4" si="0">B4*$D$1</f>
        <v>652000</v>
      </c>
      <c r="D4" s="6">
        <f>C4*12.36%</f>
        <v>80587.199999999997</v>
      </c>
      <c r="E4" s="7">
        <f t="shared" ref="E4:E11" si="1">C4+D4</f>
        <v>732587.2</v>
      </c>
    </row>
    <row r="5" spans="1:6">
      <c r="A5" s="21" t="s">
        <v>5</v>
      </c>
      <c r="B5" s="4">
        <v>350000</v>
      </c>
      <c r="C5" s="5">
        <f>B5</f>
        <v>350000</v>
      </c>
      <c r="D5" s="6">
        <f>C5*12.36%</f>
        <v>43259.999999999993</v>
      </c>
      <c r="E5" s="7">
        <f t="shared" si="1"/>
        <v>393260</v>
      </c>
    </row>
    <row r="6" spans="1:6">
      <c r="A6" s="21" t="s">
        <v>39</v>
      </c>
      <c r="B6" s="4">
        <v>500000</v>
      </c>
      <c r="C6" s="5">
        <f>B6</f>
        <v>500000</v>
      </c>
      <c r="D6" s="6">
        <f>C6*3.708%</f>
        <v>18540</v>
      </c>
      <c r="E6" s="7">
        <f t="shared" si="1"/>
        <v>518540</v>
      </c>
    </row>
    <row r="7" spans="1:6">
      <c r="A7" s="21" t="s">
        <v>40</v>
      </c>
      <c r="B7" s="4">
        <v>125</v>
      </c>
      <c r="C7" s="5">
        <f>B7*$D$1</f>
        <v>163000</v>
      </c>
      <c r="D7" s="5">
        <f>C7*0%</f>
        <v>0</v>
      </c>
      <c r="E7" s="7">
        <f t="shared" si="1"/>
        <v>163000</v>
      </c>
    </row>
    <row r="8" spans="1:6">
      <c r="A8" s="21" t="s">
        <v>28</v>
      </c>
      <c r="B8" s="4">
        <v>45</v>
      </c>
      <c r="C8" s="5">
        <f>B8*$D$1</f>
        <v>58680</v>
      </c>
      <c r="D8" s="6">
        <f>C8*3.708%</f>
        <v>2175.8544000000002</v>
      </c>
      <c r="E8" s="7">
        <f>C8+D8</f>
        <v>60855.854399999997</v>
      </c>
    </row>
    <row r="9" spans="1:6">
      <c r="A9" s="21" t="s">
        <v>29</v>
      </c>
      <c r="B9" s="4">
        <v>40</v>
      </c>
      <c r="C9" s="5">
        <f>B9*$D$1</f>
        <v>52160</v>
      </c>
      <c r="D9" s="6">
        <f>C9*3.708%</f>
        <v>1934.0928000000001</v>
      </c>
      <c r="E9" s="7">
        <f>C9+D9</f>
        <v>54094.092799999999</v>
      </c>
    </row>
    <row r="10" spans="1:6">
      <c r="A10" s="22" t="s">
        <v>41</v>
      </c>
      <c r="B10" s="4">
        <v>430</v>
      </c>
      <c r="C10" s="5">
        <f t="shared" ref="C10" si="2">B10*$D$1</f>
        <v>560720</v>
      </c>
      <c r="D10" s="5">
        <f t="shared" ref="D10" si="3">C10*0%</f>
        <v>0</v>
      </c>
      <c r="E10" s="7">
        <f t="shared" si="1"/>
        <v>560720</v>
      </c>
    </row>
    <row r="11" spans="1:6" s="2" customFormat="1">
      <c r="A11" s="87" t="s">
        <v>56</v>
      </c>
      <c r="B11" s="88"/>
      <c r="C11" s="78">
        <f>SUM(C3:C10)</f>
        <v>11529760</v>
      </c>
      <c r="D11" s="78">
        <f>SUM(D3:D10)</f>
        <v>487381.00320000004</v>
      </c>
      <c r="E11" s="78">
        <f t="shared" si="1"/>
        <v>12017141.0032</v>
      </c>
    </row>
    <row r="12" spans="1:6" ht="26.25" customHeight="1" thickBot="1">
      <c r="A12" s="89"/>
      <c r="B12" s="90"/>
      <c r="C12" s="78"/>
      <c r="D12" s="78"/>
      <c r="E12" s="78"/>
    </row>
    <row r="13" spans="1:6" ht="15.75" thickBot="1">
      <c r="A13" s="15" t="s">
        <v>42</v>
      </c>
      <c r="B13" s="16" t="s">
        <v>43</v>
      </c>
      <c r="C13" s="8"/>
      <c r="D13" s="9"/>
      <c r="E13" s="9"/>
    </row>
    <row r="14" spans="1:6" ht="15.75" thickBot="1">
      <c r="A14" s="23" t="s">
        <v>44</v>
      </c>
      <c r="B14" s="3" t="s">
        <v>45</v>
      </c>
      <c r="C14" s="8"/>
      <c r="D14" s="9"/>
      <c r="E14" s="9"/>
    </row>
    <row r="15" spans="1:6" ht="15.75" thickBot="1">
      <c r="A15" s="23" t="s">
        <v>46</v>
      </c>
      <c r="B15" s="3" t="s">
        <v>47</v>
      </c>
      <c r="C15" s="8"/>
      <c r="D15" s="9"/>
      <c r="E15" s="9"/>
    </row>
    <row r="16" spans="1:6" ht="15.75" thickBot="1">
      <c r="A16" s="23" t="s">
        <v>48</v>
      </c>
      <c r="B16" s="3" t="s">
        <v>17</v>
      </c>
      <c r="C16" s="8"/>
      <c r="D16" s="9"/>
      <c r="E16" s="9"/>
    </row>
    <row r="17" spans="1:5" ht="15.75" thickBot="1">
      <c r="A17" s="23" t="s">
        <v>49</v>
      </c>
      <c r="B17" s="3" t="s">
        <v>50</v>
      </c>
      <c r="C17" s="8"/>
      <c r="D17" s="9"/>
      <c r="E17" s="9"/>
    </row>
    <row r="18" spans="1:5" ht="15.75" thickBot="1">
      <c r="A18" s="23" t="s">
        <v>51</v>
      </c>
      <c r="B18" s="3" t="s">
        <v>52</v>
      </c>
      <c r="C18" s="8"/>
      <c r="D18" s="9"/>
      <c r="E18" s="9"/>
    </row>
    <row r="19" spans="1:5" ht="26.25" thickBot="1">
      <c r="A19" s="23" t="s">
        <v>53</v>
      </c>
      <c r="B19" s="3" t="s">
        <v>54</v>
      </c>
      <c r="C19" s="8"/>
      <c r="D19" s="9"/>
      <c r="E19" s="9"/>
    </row>
    <row r="20" spans="1:5" ht="20.25" customHeight="1">
      <c r="A20" s="79" t="s">
        <v>55</v>
      </c>
      <c r="B20" s="80"/>
      <c r="C20" s="8"/>
      <c r="D20" s="9"/>
      <c r="E20" s="9"/>
    </row>
    <row r="21" spans="1:5" ht="15.75" thickBot="1">
      <c r="A21" s="81"/>
      <c r="B21" s="82"/>
      <c r="C21" s="8"/>
      <c r="D21" s="9"/>
      <c r="E21" s="9"/>
    </row>
  </sheetData>
  <mergeCells count="6">
    <mergeCell ref="E11:E12"/>
    <mergeCell ref="A20:B21"/>
    <mergeCell ref="A1:B2"/>
    <mergeCell ref="A11:B12"/>
    <mergeCell ref="C11:C12"/>
    <mergeCell ref="D11:D12"/>
  </mergeCells>
  <pageMargins left="0.7" right="0.7" top="0.75" bottom="0.7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dimension ref="A1:F28"/>
  <sheetViews>
    <sheetView workbookViewId="0">
      <selection activeCell="C3" sqref="C3"/>
    </sheetView>
  </sheetViews>
  <sheetFormatPr defaultRowHeight="15"/>
  <cols>
    <col min="1" max="1" width="47.28515625" customWidth="1"/>
    <col min="2" max="2" width="49.140625" customWidth="1"/>
    <col min="3" max="3" width="19.5703125" customWidth="1"/>
    <col min="4" max="4" width="13.85546875" bestFit="1" customWidth="1"/>
    <col min="5" max="5" width="21" bestFit="1" customWidth="1"/>
    <col min="6" max="6" width="13.85546875" bestFit="1" customWidth="1"/>
  </cols>
  <sheetData>
    <row r="1" spans="1:6" s="27" customFormat="1">
      <c r="A1" s="95" t="s">
        <v>3</v>
      </c>
      <c r="B1" s="95"/>
      <c r="C1" s="25" t="s">
        <v>6</v>
      </c>
      <c r="D1" s="25">
        <v>1304</v>
      </c>
      <c r="E1" s="25" t="s">
        <v>58</v>
      </c>
      <c r="F1" s="26"/>
    </row>
    <row r="2" spans="1:6">
      <c r="A2" s="29" t="s">
        <v>7</v>
      </c>
      <c r="B2" s="4">
        <v>6800</v>
      </c>
      <c r="C2" s="35">
        <f>B2*D1</f>
        <v>8867200</v>
      </c>
      <c r="D2" s="32">
        <f>C2*3.708%</f>
        <v>328795.77600000001</v>
      </c>
      <c r="E2" s="64">
        <f>C2+D2</f>
        <v>9195995.7760000005</v>
      </c>
      <c r="F2" s="9"/>
    </row>
    <row r="3" spans="1:6">
      <c r="A3" s="29" t="s">
        <v>8</v>
      </c>
      <c r="B3" s="4">
        <v>500</v>
      </c>
      <c r="C3" s="35">
        <f>B3*D1</f>
        <v>652000</v>
      </c>
      <c r="D3" s="32">
        <f>C3*12.36%</f>
        <v>80587.199999999997</v>
      </c>
      <c r="E3" s="64">
        <f t="shared" ref="E3:E10" si="0">C3+D3</f>
        <v>732587.2</v>
      </c>
      <c r="F3" s="9"/>
    </row>
    <row r="4" spans="1:6">
      <c r="A4" s="29" t="s">
        <v>5</v>
      </c>
      <c r="B4" s="4">
        <v>350000</v>
      </c>
      <c r="C4" s="35">
        <v>350000</v>
      </c>
      <c r="D4" s="32">
        <f>C4*12.36%</f>
        <v>43259.999999999993</v>
      </c>
      <c r="E4" s="64">
        <f t="shared" si="0"/>
        <v>393260</v>
      </c>
      <c r="F4" s="9"/>
    </row>
    <row r="5" spans="1:6">
      <c r="A5" s="29" t="s">
        <v>31</v>
      </c>
      <c r="B5" s="4">
        <v>500000</v>
      </c>
      <c r="C5" s="35">
        <f>B5</f>
        <v>500000</v>
      </c>
      <c r="D5" s="32">
        <f>C5*3.708%</f>
        <v>18540</v>
      </c>
      <c r="E5" s="64">
        <f t="shared" si="0"/>
        <v>518540</v>
      </c>
      <c r="F5" s="9"/>
    </row>
    <row r="6" spans="1:6">
      <c r="A6" s="29" t="s">
        <v>12</v>
      </c>
      <c r="B6" s="4">
        <v>125</v>
      </c>
      <c r="C6" s="35">
        <f>B6*D1</f>
        <v>163000</v>
      </c>
      <c r="D6" s="32">
        <f>C6*0%</f>
        <v>0</v>
      </c>
      <c r="E6" s="64">
        <f t="shared" si="0"/>
        <v>163000</v>
      </c>
      <c r="F6" s="9"/>
    </row>
    <row r="7" spans="1:6">
      <c r="A7" s="30" t="s">
        <v>28</v>
      </c>
      <c r="B7" s="4">
        <v>45</v>
      </c>
      <c r="C7" s="35">
        <f>B7*D1</f>
        <v>58680</v>
      </c>
      <c r="D7" s="32">
        <f>C7*3.708%</f>
        <v>2175.8544000000002</v>
      </c>
      <c r="E7" s="64">
        <f>C7+D7</f>
        <v>60855.854399999997</v>
      </c>
      <c r="F7" s="9"/>
    </row>
    <row r="8" spans="1:6">
      <c r="A8" s="30" t="s">
        <v>29</v>
      </c>
      <c r="B8" s="4">
        <v>40</v>
      </c>
      <c r="C8" s="35">
        <f>B8*D1</f>
        <v>52160</v>
      </c>
      <c r="D8" s="32">
        <f>C8*3.708%</f>
        <v>1934.0928000000001</v>
      </c>
      <c r="E8" s="64">
        <f>C8+D8</f>
        <v>54094.092799999999</v>
      </c>
      <c r="F8" s="9"/>
    </row>
    <row r="9" spans="1:6">
      <c r="A9" s="31" t="s">
        <v>13</v>
      </c>
      <c r="B9" s="4">
        <v>430</v>
      </c>
      <c r="C9" s="35">
        <f>B9*D1</f>
        <v>560720</v>
      </c>
      <c r="D9" s="32">
        <f t="shared" ref="D9" si="1">C9*0%</f>
        <v>0</v>
      </c>
      <c r="E9" s="64">
        <f t="shared" si="0"/>
        <v>560720</v>
      </c>
      <c r="F9" s="9"/>
    </row>
    <row r="10" spans="1:6">
      <c r="A10" s="31" t="s">
        <v>11</v>
      </c>
      <c r="B10" s="4"/>
      <c r="C10" s="99">
        <f>SUM(C2:C9)</f>
        <v>11203760</v>
      </c>
      <c r="D10" s="99">
        <f>SUM(D2:D9)</f>
        <v>475292.92320000002</v>
      </c>
      <c r="E10" s="99">
        <f t="shared" si="0"/>
        <v>11679052.9232</v>
      </c>
      <c r="F10" s="12">
        <f>C2+C3+C4+C5+C7+C8+C9</f>
        <v>11040760</v>
      </c>
    </row>
    <row r="11" spans="1:6" s="27" customFormat="1">
      <c r="A11" s="95" t="s">
        <v>4</v>
      </c>
      <c r="B11" s="95"/>
      <c r="C11" s="99"/>
      <c r="D11" s="99"/>
      <c r="E11" s="99"/>
      <c r="F11" s="28"/>
    </row>
    <row r="12" spans="1:6">
      <c r="A12" s="29" t="s">
        <v>2</v>
      </c>
      <c r="B12" s="4">
        <v>500000</v>
      </c>
      <c r="C12" s="32">
        <v>500000</v>
      </c>
      <c r="D12" s="9"/>
      <c r="E12" s="9"/>
      <c r="F12" s="9"/>
    </row>
    <row r="13" spans="1:6">
      <c r="A13" s="29" t="s">
        <v>9</v>
      </c>
      <c r="B13" s="13" t="s">
        <v>10</v>
      </c>
      <c r="C13" s="32">
        <f>(10%*F10)-C12</f>
        <v>604076</v>
      </c>
      <c r="D13" s="9"/>
      <c r="E13" s="9"/>
      <c r="F13" s="9"/>
    </row>
    <row r="14" spans="1:6">
      <c r="A14" s="29" t="s">
        <v>14</v>
      </c>
      <c r="B14" s="13" t="s">
        <v>15</v>
      </c>
      <c r="C14" s="32">
        <f>10%*F10</f>
        <v>1104076</v>
      </c>
      <c r="D14" s="9"/>
      <c r="E14" s="9"/>
      <c r="F14" s="9"/>
    </row>
    <row r="15" spans="1:6">
      <c r="A15" s="29" t="s">
        <v>16</v>
      </c>
      <c r="B15" s="13" t="s">
        <v>17</v>
      </c>
      <c r="C15" s="32">
        <f>10%*F10</f>
        <v>1104076</v>
      </c>
      <c r="D15" s="9"/>
      <c r="E15" s="9"/>
      <c r="F15" s="9"/>
    </row>
    <row r="16" spans="1:6">
      <c r="A16" s="29" t="s">
        <v>18</v>
      </c>
      <c r="B16" s="13" t="s">
        <v>30</v>
      </c>
      <c r="C16" s="32">
        <f>30%*F10</f>
        <v>3312228</v>
      </c>
      <c r="D16" s="9"/>
      <c r="E16" s="9"/>
      <c r="F16" s="9"/>
    </row>
    <row r="17" spans="1:6">
      <c r="A17" s="29" t="s">
        <v>1</v>
      </c>
      <c r="B17" s="13" t="s">
        <v>30</v>
      </c>
      <c r="C17" s="32">
        <f>30%*F10</f>
        <v>3312228</v>
      </c>
      <c r="D17" s="9"/>
      <c r="E17" s="9"/>
      <c r="F17" s="9"/>
    </row>
    <row r="18" spans="1:6">
      <c r="A18" s="29" t="s">
        <v>0</v>
      </c>
      <c r="B18" s="13" t="s">
        <v>19</v>
      </c>
      <c r="C18" s="32">
        <f>10%*F10+C6</f>
        <v>1267076</v>
      </c>
      <c r="D18" s="9"/>
      <c r="E18" s="9"/>
      <c r="F18" s="9"/>
    </row>
    <row r="19" spans="1:6">
      <c r="A19" s="14"/>
      <c r="B19" s="11" t="s">
        <v>59</v>
      </c>
      <c r="C19" s="33">
        <f>SUM(C12:C18)</f>
        <v>11203760</v>
      </c>
      <c r="D19" s="9"/>
      <c r="E19" s="9"/>
      <c r="F19" s="9"/>
    </row>
    <row r="20" spans="1:6">
      <c r="A20" s="96" t="s">
        <v>20</v>
      </c>
      <c r="B20" s="97"/>
      <c r="C20" s="97"/>
      <c r="D20" s="97"/>
      <c r="E20" s="98"/>
      <c r="F20" s="9"/>
    </row>
    <row r="21" spans="1:6" ht="27.75" customHeight="1">
      <c r="A21" s="91" t="s">
        <v>21</v>
      </c>
      <c r="B21" s="91"/>
      <c r="C21" s="91"/>
      <c r="D21" s="91"/>
      <c r="E21" s="91"/>
      <c r="F21" s="9"/>
    </row>
    <row r="22" spans="1:6">
      <c r="A22" s="91" t="s">
        <v>22</v>
      </c>
      <c r="B22" s="91"/>
      <c r="C22" s="91"/>
      <c r="D22" s="91"/>
      <c r="E22" s="91"/>
      <c r="F22" s="9"/>
    </row>
    <row r="23" spans="1:6">
      <c r="A23" s="91" t="s">
        <v>27</v>
      </c>
      <c r="B23" s="91"/>
      <c r="C23" s="91"/>
      <c r="D23" s="91"/>
      <c r="E23" s="91"/>
      <c r="F23" s="9"/>
    </row>
    <row r="24" spans="1:6">
      <c r="A24" s="91" t="s">
        <v>23</v>
      </c>
      <c r="B24" s="91"/>
      <c r="C24" s="91"/>
      <c r="D24" s="91"/>
      <c r="E24" s="91"/>
      <c r="F24" s="9"/>
    </row>
    <row r="25" spans="1:6">
      <c r="A25" s="91" t="s">
        <v>24</v>
      </c>
      <c r="B25" s="91"/>
      <c r="C25" s="91"/>
      <c r="D25" s="91"/>
      <c r="E25" s="91"/>
      <c r="F25" s="9"/>
    </row>
    <row r="26" spans="1:6">
      <c r="A26" s="92" t="s">
        <v>25</v>
      </c>
      <c r="B26" s="93"/>
      <c r="C26" s="93"/>
      <c r="D26" s="93"/>
      <c r="E26" s="94"/>
      <c r="F26" s="9"/>
    </row>
    <row r="27" spans="1:6">
      <c r="A27" s="91" t="s">
        <v>26</v>
      </c>
      <c r="B27" s="91"/>
      <c r="C27" s="91"/>
      <c r="D27" s="91"/>
      <c r="E27" s="91"/>
      <c r="F27" s="9"/>
    </row>
    <row r="28" spans="1:6">
      <c r="A28" s="9" t="s">
        <v>32</v>
      </c>
      <c r="B28" s="9"/>
      <c r="C28" s="9"/>
      <c r="D28" s="9"/>
      <c r="E28" s="9"/>
      <c r="F28" s="9"/>
    </row>
  </sheetData>
  <mergeCells count="13">
    <mergeCell ref="A24:E24"/>
    <mergeCell ref="A25:E25"/>
    <mergeCell ref="A26:E26"/>
    <mergeCell ref="A27:E27"/>
    <mergeCell ref="A1:B1"/>
    <mergeCell ref="A20:E20"/>
    <mergeCell ref="A21:E21"/>
    <mergeCell ref="A22:E22"/>
    <mergeCell ref="A23:E23"/>
    <mergeCell ref="A11:B11"/>
    <mergeCell ref="C10:C11"/>
    <mergeCell ref="D10:D11"/>
    <mergeCell ref="E10:E1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Flexi Payment Plan</vt:lpstr>
      <vt:lpstr> 30 70 Payment Plan</vt:lpstr>
      <vt:lpstr>30 30 40 Payment Plan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amit.dhingra</dc:creator>
  <cp:lastModifiedBy>Sameer</cp:lastModifiedBy>
  <dcterms:created xsi:type="dcterms:W3CDTF">2014-03-21T08:11:24Z</dcterms:created>
  <dcterms:modified xsi:type="dcterms:W3CDTF">2016-05-13T14:25:59Z</dcterms:modified>
</cp:coreProperties>
</file>