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45" windowWidth="15600" windowHeight="6390" firstSheet="1" activeTab="4"/>
  </bookViews>
  <sheets>
    <sheet name="Tower A" sheetId="2" state="hidden" r:id="rId1"/>
    <sheet name="Alta Monte Tower A" sheetId="3" r:id="rId2"/>
    <sheet name="Alta Monte Tower B" sheetId="6" r:id="rId3"/>
    <sheet name="Alta Monte Tower C" sheetId="7" r:id="rId4"/>
    <sheet name="Alta Monte Tower D" sheetId="8" r:id="rId5"/>
  </sheets>
  <calcPr calcId="145621"/>
</workbook>
</file>

<file path=xl/calcChain.xml><?xml version="1.0" encoding="utf-8"?>
<calcChain xmlns="http://schemas.openxmlformats.org/spreadsheetml/2006/main">
  <c r="F29" i="3"/>
  <c r="F31" s="1"/>
  <c r="E29"/>
  <c r="E31" s="1"/>
  <c r="F24"/>
  <c r="F26" s="1"/>
  <c r="E24"/>
  <c r="E26" s="1"/>
  <c r="F19"/>
  <c r="E19"/>
  <c r="F8"/>
  <c r="E8"/>
  <c r="F7"/>
  <c r="E7"/>
  <c r="E23" s="1"/>
  <c r="E28" l="1"/>
  <c r="F28"/>
  <c r="E25"/>
  <c r="E27" s="1"/>
  <c r="F30"/>
  <c r="F32" s="1"/>
  <c r="E30"/>
  <c r="E32" s="1"/>
  <c r="E12"/>
  <c r="F12"/>
  <c r="F23"/>
  <c r="D11" i="7"/>
  <c r="C11" i="8"/>
  <c r="C11" i="7"/>
  <c r="F13" i="3" l="1"/>
  <c r="F21" s="1"/>
  <c r="E13"/>
  <c r="E21" s="1"/>
  <c r="F25"/>
  <c r="F27" s="1"/>
  <c r="B28" i="8"/>
  <c r="B30" s="1"/>
  <c r="B23"/>
  <c r="B25" s="1"/>
  <c r="D18"/>
  <c r="C18"/>
  <c r="B18"/>
  <c r="D23"/>
  <c r="D25" s="1"/>
  <c r="C23"/>
  <c r="C25" s="1"/>
  <c r="D9"/>
  <c r="C9"/>
  <c r="B9"/>
  <c r="D8"/>
  <c r="C8"/>
  <c r="B8"/>
  <c r="C18" i="7"/>
  <c r="C23"/>
  <c r="C25" s="1"/>
  <c r="C9"/>
  <c r="C8"/>
  <c r="B28"/>
  <c r="B30" s="1"/>
  <c r="B23"/>
  <c r="B25" s="1"/>
  <c r="D18"/>
  <c r="B18"/>
  <c r="D28"/>
  <c r="D30" s="1"/>
  <c r="D9"/>
  <c r="B9"/>
  <c r="D8"/>
  <c r="D27" s="1"/>
  <c r="B8"/>
  <c r="C22" i="8" l="1"/>
  <c r="D22"/>
  <c r="D24" s="1"/>
  <c r="D27"/>
  <c r="D29" s="1"/>
  <c r="B22"/>
  <c r="B24" s="1"/>
  <c r="B26" s="1"/>
  <c r="C27"/>
  <c r="C29" s="1"/>
  <c r="C28"/>
  <c r="C30" s="1"/>
  <c r="D13"/>
  <c r="D14" s="1"/>
  <c r="D16"/>
  <c r="B13"/>
  <c r="D26"/>
  <c r="C13"/>
  <c r="B16"/>
  <c r="C24"/>
  <c r="C26" s="1"/>
  <c r="B27"/>
  <c r="C16"/>
  <c r="D28"/>
  <c r="D30" s="1"/>
  <c r="C13" i="7"/>
  <c r="C14" s="1"/>
  <c r="C27"/>
  <c r="C29" s="1"/>
  <c r="C28"/>
  <c r="C30" s="1"/>
  <c r="C22"/>
  <c r="C16"/>
  <c r="B27"/>
  <c r="B29" s="1"/>
  <c r="B31" s="1"/>
  <c r="D29"/>
  <c r="D31" s="1"/>
  <c r="B13"/>
  <c r="B16"/>
  <c r="B22"/>
  <c r="D13"/>
  <c r="D16"/>
  <c r="D22"/>
  <c r="D23"/>
  <c r="D25" s="1"/>
  <c r="B28" i="6"/>
  <c r="B30" s="1"/>
  <c r="B23"/>
  <c r="B25" s="1"/>
  <c r="B18"/>
  <c r="B9"/>
  <c r="B8"/>
  <c r="G29" i="3"/>
  <c r="G31" s="1"/>
  <c r="G24"/>
  <c r="G26" s="1"/>
  <c r="G19"/>
  <c r="G8"/>
  <c r="G7"/>
  <c r="C31" i="7" l="1"/>
  <c r="C31" i="8"/>
  <c r="D15"/>
  <c r="D20" s="1"/>
  <c r="B29"/>
  <c r="B31" s="1"/>
  <c r="B15"/>
  <c r="B14"/>
  <c r="B20" s="1"/>
  <c r="C15"/>
  <c r="C14"/>
  <c r="C20" s="1"/>
  <c r="D31"/>
  <c r="C15" i="7"/>
  <c r="C20" s="1"/>
  <c r="C24"/>
  <c r="C26" s="1"/>
  <c r="B15"/>
  <c r="B14"/>
  <c r="B24"/>
  <c r="B26" s="1"/>
  <c r="D24"/>
  <c r="D26" s="1"/>
  <c r="D15"/>
  <c r="D14"/>
  <c r="B13" i="6"/>
  <c r="B15" s="1"/>
  <c r="B22"/>
  <c r="B24" s="1"/>
  <c r="B26" s="1"/>
  <c r="B16"/>
  <c r="B27"/>
  <c r="G28" i="3"/>
  <c r="G30" s="1"/>
  <c r="G32" s="1"/>
  <c r="G23"/>
  <c r="G12"/>
  <c r="D20" i="7" l="1"/>
  <c r="B20"/>
  <c r="B14" i="6"/>
  <c r="B20" s="1"/>
  <c r="B29"/>
  <c r="B31" s="1"/>
  <c r="H12" i="3"/>
  <c r="G13"/>
  <c r="G21" s="1"/>
  <c r="G25"/>
  <c r="G27" s="1"/>
  <c r="D28" i="6" l="1"/>
  <c r="D30" s="1"/>
  <c r="C28"/>
  <c r="C30" s="1"/>
  <c r="D23"/>
  <c r="D25" s="1"/>
  <c r="C23"/>
  <c r="C25" s="1"/>
  <c r="E18"/>
  <c r="D18"/>
  <c r="C18"/>
  <c r="E11"/>
  <c r="E23" s="1"/>
  <c r="E25" s="1"/>
  <c r="E9"/>
  <c r="D9"/>
  <c r="C9"/>
  <c r="E8"/>
  <c r="D8"/>
  <c r="C8"/>
  <c r="E13" l="1"/>
  <c r="E14" s="1"/>
  <c r="D22"/>
  <c r="D24" s="1"/>
  <c r="D26" s="1"/>
  <c r="C27"/>
  <c r="C29" s="1"/>
  <c r="C31" s="1"/>
  <c r="E27"/>
  <c r="E29" s="1"/>
  <c r="E22"/>
  <c r="E24" s="1"/>
  <c r="E26" s="1"/>
  <c r="C13"/>
  <c r="C15" s="1"/>
  <c r="D13"/>
  <c r="D15" s="1"/>
  <c r="C16"/>
  <c r="D16"/>
  <c r="C22"/>
  <c r="D27"/>
  <c r="E28"/>
  <c r="E30" s="1"/>
  <c r="E16"/>
  <c r="B29" i="3"/>
  <c r="B31" s="1"/>
  <c r="B24"/>
  <c r="B26" s="1"/>
  <c r="B19"/>
  <c r="B8"/>
  <c r="B7"/>
  <c r="C14" i="6" l="1"/>
  <c r="C20" s="1"/>
  <c r="E15"/>
  <c r="E20"/>
  <c r="D14"/>
  <c r="D20" s="1"/>
  <c r="C24"/>
  <c r="C26" s="1"/>
  <c r="E31"/>
  <c r="D29"/>
  <c r="D31" s="1"/>
  <c r="B28" i="3"/>
  <c r="B30" s="1"/>
  <c r="B32" s="1"/>
  <c r="B12"/>
  <c r="B23"/>
  <c r="B25" l="1"/>
  <c r="B27" s="1"/>
  <c r="B13"/>
  <c r="B21" l="1"/>
  <c r="D29" l="1"/>
  <c r="D31" s="1"/>
  <c r="C29"/>
  <c r="C31" s="1"/>
  <c r="C24"/>
  <c r="C26" s="1"/>
  <c r="D19"/>
  <c r="C19"/>
  <c r="D8"/>
  <c r="C8"/>
  <c r="D7"/>
  <c r="C7"/>
  <c r="D24" l="1"/>
  <c r="D26" s="1"/>
  <c r="C23"/>
  <c r="C25" s="1"/>
  <c r="C27" s="1"/>
  <c r="D28"/>
  <c r="D30" s="1"/>
  <c r="D32" s="1"/>
  <c r="D12"/>
  <c r="C12"/>
  <c r="C28"/>
  <c r="D23"/>
  <c r="C13" l="1"/>
  <c r="C21" s="1"/>
  <c r="D13"/>
  <c r="C30"/>
  <c r="C32" s="1"/>
  <c r="D25"/>
  <c r="D27" s="1"/>
  <c r="D21" l="1"/>
  <c r="B9" i="2" l="1"/>
  <c r="B20" s="1"/>
  <c r="D20"/>
  <c r="C20"/>
  <c r="C6" l="1"/>
  <c r="B6"/>
  <c r="D6"/>
  <c r="B25" l="1"/>
  <c r="B27" s="1"/>
  <c r="B22"/>
  <c r="D25"/>
  <c r="D27" s="1"/>
  <c r="D22"/>
  <c r="D16"/>
  <c r="D7"/>
  <c r="C25"/>
  <c r="C27" s="1"/>
  <c r="C22"/>
  <c r="B16"/>
  <c r="C16"/>
  <c r="B7"/>
  <c r="B14" s="1"/>
  <c r="C7"/>
  <c r="C14" s="1"/>
  <c r="D11" l="1"/>
  <c r="D12" s="1"/>
  <c r="D14"/>
  <c r="D19"/>
  <c r="D21" s="1"/>
  <c r="D23" s="1"/>
  <c r="B19"/>
  <c r="B21" s="1"/>
  <c r="B23" s="1"/>
  <c r="D13"/>
  <c r="D24"/>
  <c r="C19"/>
  <c r="C21" s="1"/>
  <c r="C23" s="1"/>
  <c r="B24"/>
  <c r="B11"/>
  <c r="C11"/>
  <c r="C24"/>
  <c r="D18" l="1"/>
  <c r="D26"/>
  <c r="D28" s="1"/>
  <c r="C12"/>
  <c r="C13"/>
  <c r="B26"/>
  <c r="B28" s="1"/>
  <c r="C26"/>
  <c r="C28" s="1"/>
  <c r="B12"/>
  <c r="B13"/>
  <c r="B18" l="1"/>
  <c r="C18"/>
</calcChain>
</file>

<file path=xl/sharedStrings.xml><?xml version="1.0" encoding="utf-8"?>
<sst xmlns="http://schemas.openxmlformats.org/spreadsheetml/2006/main" count="191" uniqueCount="59">
  <si>
    <t>Specifications</t>
  </si>
  <si>
    <t>Floor</t>
  </si>
  <si>
    <t>Saleable Area</t>
  </si>
  <si>
    <t>Base Rate</t>
  </si>
  <si>
    <t>Floor Rise</t>
  </si>
  <si>
    <t>Vastu/Interior Consultancy Charges</t>
  </si>
  <si>
    <t>Agreement Value</t>
  </si>
  <si>
    <t>Stamp Duty 5% (Approx)</t>
  </si>
  <si>
    <t>Vat 1%</t>
  </si>
  <si>
    <t>Registration</t>
  </si>
  <si>
    <t>1 yr Advance maintainence (Approx) on possession</t>
  </si>
  <si>
    <t>Other Charges (Approx) on possession</t>
  </si>
  <si>
    <t>Grand Total</t>
  </si>
  <si>
    <t>Service Tax 3.09%</t>
  </si>
  <si>
    <t>Total 5% due on Booking including Taxes</t>
  </si>
  <si>
    <t>14.9% of BR</t>
  </si>
  <si>
    <t>Total 14.9% due in next 21days from Booking including Taxes</t>
  </si>
  <si>
    <t xml:space="preserve"> </t>
  </si>
  <si>
    <t>A</t>
  </si>
  <si>
    <t>2 BHK</t>
  </si>
  <si>
    <t>3 BHK</t>
  </si>
  <si>
    <t>5% of BR + FR</t>
  </si>
  <si>
    <t>Service Tax 12.36% on CDC</t>
  </si>
  <si>
    <t>Unit No 1</t>
  </si>
  <si>
    <t>Unit No 2</t>
  </si>
  <si>
    <t>Unit No 3</t>
  </si>
  <si>
    <t>PLC</t>
  </si>
  <si>
    <t>5% of CDC + PLC</t>
  </si>
  <si>
    <t>14.9% of CDC + PLC</t>
  </si>
  <si>
    <t>Service Tax 12.36% on CDC + PLC</t>
  </si>
  <si>
    <t>Service Tax on Base Rate ,Premium location charge, floor rise</t>
  </si>
  <si>
    <t>Club development Charges</t>
  </si>
  <si>
    <t>Club Development Charges</t>
  </si>
  <si>
    <t xml:space="preserve">Base Rate </t>
  </si>
  <si>
    <t>Rate</t>
  </si>
  <si>
    <t>Flat No</t>
  </si>
  <si>
    <t>Vastu Interior Consultancy Charges</t>
  </si>
  <si>
    <t>5% of BR + FR+CDC</t>
  </si>
  <si>
    <t>5% of Vastu + PLC</t>
  </si>
  <si>
    <t>Service Tax 4.35% on BR + FR+CDC</t>
  </si>
  <si>
    <t>Service Tax 14.5% on Vastu + PLC</t>
  </si>
  <si>
    <t>14.9% of BR+FR+CDC</t>
  </si>
  <si>
    <t>14.9% of Vastu + PLC</t>
  </si>
  <si>
    <t>Service Tax on Base Rate ,Premium location charge, floor rise (Approx)</t>
  </si>
  <si>
    <t>PLC (On East facing apartments)</t>
  </si>
  <si>
    <t>* Government fees are calculated on the agreement value and are subject to change.</t>
  </si>
  <si>
    <t>* The above values are excluding Property taxes.</t>
  </si>
  <si>
    <t>* As per construction 100% is the due amount.</t>
  </si>
  <si>
    <t>Tower A Price Sheet</t>
  </si>
  <si>
    <t>* Building Protection deposit of 2 lacs is over and above the cost and payable at possession.</t>
  </si>
  <si>
    <t>Tower B Price Sheet</t>
  </si>
  <si>
    <t>* As per construction 45% is the due amount below 9th floor and 19.9% is due above 9th Floor.</t>
  </si>
  <si>
    <t>Service Tax on Base Rate ,Premium location charge, floor rise (approx)</t>
  </si>
  <si>
    <t>Tower C Price Sheet</t>
  </si>
  <si>
    <t xml:space="preserve">* As per construction 90% is the due amount </t>
  </si>
  <si>
    <t>Tower D Price Sheet</t>
  </si>
  <si>
    <t>4 BHK</t>
  </si>
  <si>
    <t>5 BHK</t>
  </si>
  <si>
    <t xml:space="preserve">* As per construction 60% is the due amount 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</si>
</sst>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wrapText="1"/>
    </xf>
    <xf numFmtId="1" fontId="2" fillId="3" borderId="12" xfId="0" applyNumberFormat="1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1" fontId="3" fillId="3" borderId="12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1" fontId="4" fillId="3" borderId="14" xfId="0" applyNumberFormat="1" applyFont="1" applyFill="1" applyBorder="1" applyAlignment="1">
      <alignment horizontal="center" wrapText="1"/>
    </xf>
    <xf numFmtId="1" fontId="4" fillId="3" borderId="23" xfId="0" applyNumberFormat="1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1" fontId="4" fillId="3" borderId="13" xfId="0" applyNumberFormat="1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" fontId="4" fillId="3" borderId="37" xfId="0" applyNumberFormat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2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vertical="center" wrapText="1"/>
    </xf>
    <xf numFmtId="1" fontId="4" fillId="3" borderId="39" xfId="0" applyNumberFormat="1" applyFont="1" applyFill="1" applyBorder="1" applyAlignment="1">
      <alignment horizontal="center" wrapText="1"/>
    </xf>
    <xf numFmtId="1" fontId="4" fillId="3" borderId="12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" fontId="4" fillId="3" borderId="3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11" sqref="C11"/>
    </sheetView>
  </sheetViews>
  <sheetFormatPr defaultRowHeight="15"/>
  <cols>
    <col min="1" max="1" width="34" style="1" bestFit="1" customWidth="1"/>
    <col min="2" max="2" width="12.28515625" style="1" customWidth="1"/>
    <col min="3" max="4" width="12.28515625" style="1" bestFit="1" customWidth="1"/>
  </cols>
  <sheetData>
    <row r="1" spans="1:4">
      <c r="A1" s="106" t="s">
        <v>17</v>
      </c>
      <c r="B1" s="7" t="s">
        <v>20</v>
      </c>
      <c r="C1" s="7" t="s">
        <v>19</v>
      </c>
      <c r="D1" s="7" t="s">
        <v>19</v>
      </c>
    </row>
    <row r="2" spans="1:4">
      <c r="A2" s="107"/>
      <c r="B2" s="4" t="s">
        <v>18</v>
      </c>
      <c r="C2" s="4" t="s">
        <v>18</v>
      </c>
      <c r="D2" s="4" t="s">
        <v>18</v>
      </c>
    </row>
    <row r="3" spans="1:4">
      <c r="A3" s="8" t="s">
        <v>0</v>
      </c>
      <c r="B3" s="4" t="s">
        <v>23</v>
      </c>
      <c r="C3" s="4" t="s">
        <v>24</v>
      </c>
      <c r="D3" s="4" t="s">
        <v>25</v>
      </c>
    </row>
    <row r="4" spans="1:4">
      <c r="A4" s="9" t="s">
        <v>1</v>
      </c>
      <c r="B4" s="3">
        <v>9</v>
      </c>
      <c r="C4" s="3">
        <v>11</v>
      </c>
      <c r="D4" s="3">
        <v>11</v>
      </c>
    </row>
    <row r="5" spans="1:4">
      <c r="A5" s="9" t="s">
        <v>2</v>
      </c>
      <c r="B5" s="2">
        <v>1566</v>
      </c>
      <c r="C5" s="2">
        <v>1236</v>
      </c>
      <c r="D5" s="2">
        <v>1236</v>
      </c>
    </row>
    <row r="6" spans="1:4">
      <c r="A6" s="9" t="s">
        <v>33</v>
      </c>
      <c r="B6" s="2">
        <f>15400*B5</f>
        <v>24116400</v>
      </c>
      <c r="C6" s="2">
        <f>15400*C5</f>
        <v>19034400</v>
      </c>
      <c r="D6" s="2">
        <f>15600*D5</f>
        <v>19281600</v>
      </c>
    </row>
    <row r="7" spans="1:4">
      <c r="A7" s="9" t="s">
        <v>4</v>
      </c>
      <c r="B7" s="2">
        <f>(B4-1)*100*B5</f>
        <v>1252800</v>
      </c>
      <c r="C7" s="2">
        <f>(C4-1)*100*C5</f>
        <v>1236000</v>
      </c>
      <c r="D7" s="2">
        <f>(D4-1)*100*D5</f>
        <v>1236000</v>
      </c>
    </row>
    <row r="8" spans="1:4">
      <c r="A8" s="9" t="s">
        <v>31</v>
      </c>
      <c r="B8" s="2">
        <v>300000</v>
      </c>
      <c r="C8" s="2">
        <v>300000</v>
      </c>
      <c r="D8" s="2">
        <v>300000</v>
      </c>
    </row>
    <row r="9" spans="1:4">
      <c r="A9" s="9" t="s">
        <v>26</v>
      </c>
      <c r="B9" s="2">
        <f>300*B5</f>
        <v>469800</v>
      </c>
      <c r="C9" s="2">
        <v>0</v>
      </c>
      <c r="D9" s="2">
        <v>0</v>
      </c>
    </row>
    <row r="10" spans="1:4">
      <c r="A10" s="9" t="s">
        <v>5</v>
      </c>
      <c r="B10" s="2">
        <v>1600000</v>
      </c>
      <c r="C10" s="2">
        <v>1000000</v>
      </c>
      <c r="D10" s="2">
        <v>1000000</v>
      </c>
    </row>
    <row r="11" spans="1:4">
      <c r="A11" s="12" t="s">
        <v>6</v>
      </c>
      <c r="B11" s="13">
        <f>SUM(B6:B10)</f>
        <v>27739000</v>
      </c>
      <c r="C11" s="13">
        <f>SUM(C6:C10)</f>
        <v>21570400</v>
      </c>
      <c r="D11" s="13">
        <f>SUM(D6:D10)</f>
        <v>21817600</v>
      </c>
    </row>
    <row r="12" spans="1:4">
      <c r="A12" s="9" t="s">
        <v>7</v>
      </c>
      <c r="B12" s="2">
        <f>B11*5%</f>
        <v>1386950</v>
      </c>
      <c r="C12" s="2">
        <f>C11*5%</f>
        <v>1078520</v>
      </c>
      <c r="D12" s="2">
        <f>D11*5%</f>
        <v>1090880</v>
      </c>
    </row>
    <row r="13" spans="1:4">
      <c r="A13" s="9" t="s">
        <v>8</v>
      </c>
      <c r="B13" s="2">
        <f>B11*1%</f>
        <v>277390</v>
      </c>
      <c r="C13" s="2">
        <f>C11*1%</f>
        <v>215704</v>
      </c>
      <c r="D13" s="2">
        <f>D11*1%</f>
        <v>218176</v>
      </c>
    </row>
    <row r="14" spans="1:4" ht="30">
      <c r="A14" s="9" t="s">
        <v>30</v>
      </c>
      <c r="B14" s="2">
        <f>(B6+B7+B8)*3.09%+(B9+B10)*12.36%</f>
        <v>1049005.5599999998</v>
      </c>
      <c r="C14" s="2">
        <f t="shared" ref="C14:D14" si="0">(C6+C7+C8)*3.09%+(C9+C10)*12.36%</f>
        <v>759225.36</v>
      </c>
      <c r="D14" s="2">
        <f t="shared" si="0"/>
        <v>766863.84</v>
      </c>
    </row>
    <row r="15" spans="1:4">
      <c r="A15" s="9" t="s">
        <v>9</v>
      </c>
      <c r="B15" s="2">
        <v>36000</v>
      </c>
      <c r="C15" s="2">
        <v>36000</v>
      </c>
      <c r="D15" s="2">
        <v>36000</v>
      </c>
    </row>
    <row r="16" spans="1:4" ht="30">
      <c r="A16" s="9" t="s">
        <v>10</v>
      </c>
      <c r="B16" s="2">
        <f>5*B5*12</f>
        <v>93960</v>
      </c>
      <c r="C16" s="2">
        <f>5*C5*12</f>
        <v>74160</v>
      </c>
      <c r="D16" s="2">
        <f>5*D5*12</f>
        <v>74160</v>
      </c>
    </row>
    <row r="17" spans="1:4" ht="30">
      <c r="A17" s="9" t="s">
        <v>11</v>
      </c>
      <c r="B17" s="2">
        <v>100000</v>
      </c>
      <c r="C17" s="2">
        <v>100000</v>
      </c>
      <c r="D17" s="2">
        <v>100000</v>
      </c>
    </row>
    <row r="18" spans="1:4" ht="15.75" thickBot="1">
      <c r="A18" s="10" t="s">
        <v>12</v>
      </c>
      <c r="B18" s="11">
        <f>SUM(B11:B17)</f>
        <v>30682305.559999999</v>
      </c>
      <c r="C18" s="11">
        <f>SUM(C11:C17)</f>
        <v>23834009.359999999</v>
      </c>
      <c r="D18" s="11">
        <f>SUM(D11:D17)</f>
        <v>24103679.84</v>
      </c>
    </row>
    <row r="19" spans="1:4" hidden="1">
      <c r="A19" s="5" t="s">
        <v>21</v>
      </c>
      <c r="B19" s="6">
        <f>(B6+B7)*5%</f>
        <v>1268460</v>
      </c>
      <c r="C19" s="6">
        <f>(C6+C7)*5%</f>
        <v>1013520</v>
      </c>
      <c r="D19" s="6">
        <f>(D6+D7)*5%</f>
        <v>1025880</v>
      </c>
    </row>
    <row r="20" spans="1:4" hidden="1">
      <c r="A20" s="3" t="s">
        <v>27</v>
      </c>
      <c r="B20" s="2">
        <f>(B8+B9+B10)*5%</f>
        <v>118490</v>
      </c>
      <c r="C20" s="2">
        <f>(C8+C9+C10)*5%</f>
        <v>65000</v>
      </c>
      <c r="D20" s="2">
        <f>(D8+D9+D10)*5%</f>
        <v>65000</v>
      </c>
    </row>
    <row r="21" spans="1:4" hidden="1">
      <c r="A21" s="3" t="s">
        <v>13</v>
      </c>
      <c r="B21" s="2">
        <f t="shared" ref="B21" si="1">B19*3.09%</f>
        <v>39195.413999999997</v>
      </c>
      <c r="C21" s="2">
        <f>C19*3.09%</f>
        <v>31317.767999999996</v>
      </c>
      <c r="D21" s="2">
        <f>D19*3.09%</f>
        <v>31699.691999999995</v>
      </c>
    </row>
    <row r="22" spans="1:4" hidden="1">
      <c r="A22" s="3" t="s">
        <v>22</v>
      </c>
      <c r="B22" s="2">
        <f t="shared" ref="B22" si="2">B20*12.36%</f>
        <v>14645.363999999998</v>
      </c>
      <c r="C22" s="2">
        <f>C20*12.36%</f>
        <v>8033.9999999999991</v>
      </c>
      <c r="D22" s="2">
        <f>D20*12.36%</f>
        <v>8033.9999999999991</v>
      </c>
    </row>
    <row r="23" spans="1:4" ht="30">
      <c r="A23" s="3" t="s">
        <v>14</v>
      </c>
      <c r="B23" s="2">
        <f t="shared" ref="B23" si="3">SUM(B19:B22)</f>
        <v>1440790.7780000002</v>
      </c>
      <c r="C23" s="2">
        <f>SUM(C19:C22)</f>
        <v>1117871.7679999999</v>
      </c>
      <c r="D23" s="2">
        <f>SUM(D19:D22)</f>
        <v>1130613.692</v>
      </c>
    </row>
    <row r="24" spans="1:4" hidden="1">
      <c r="A24" s="3" t="s">
        <v>15</v>
      </c>
      <c r="B24" s="2">
        <f>(B6+B7)*14.9%</f>
        <v>3780010.8</v>
      </c>
      <c r="C24" s="2">
        <f>(C6+C7)*14.9%</f>
        <v>3020289.6</v>
      </c>
      <c r="D24" s="2">
        <f>(D6+D7)*14.9%</f>
        <v>3057122.4</v>
      </c>
    </row>
    <row r="25" spans="1:4" hidden="1">
      <c r="A25" s="3" t="s">
        <v>28</v>
      </c>
      <c r="B25" s="2">
        <f>(B9+B10)*14.9%</f>
        <v>308400.2</v>
      </c>
      <c r="C25" s="2">
        <f>C10*14.9%</f>
        <v>149000</v>
      </c>
      <c r="D25" s="2">
        <f>D10*14.9%</f>
        <v>149000</v>
      </c>
    </row>
    <row r="26" spans="1:4" hidden="1">
      <c r="A26" s="3" t="s">
        <v>13</v>
      </c>
      <c r="B26" s="2">
        <f>B24*3.09%</f>
        <v>116802.33371999998</v>
      </c>
      <c r="C26" s="2">
        <f>C24*3.09%</f>
        <v>93326.948639999988</v>
      </c>
      <c r="D26" s="2">
        <f>D24*3.09%</f>
        <v>94465.082159999991</v>
      </c>
    </row>
    <row r="27" spans="1:4" hidden="1">
      <c r="A27" s="3" t="s">
        <v>29</v>
      </c>
      <c r="B27" s="2">
        <f>B25*12.36%</f>
        <v>38118.264719999999</v>
      </c>
      <c r="C27" s="2">
        <f>C25*12.36%</f>
        <v>18416.399999999998</v>
      </c>
      <c r="D27" s="2">
        <f>D25*12.36%</f>
        <v>18416.399999999998</v>
      </c>
    </row>
    <row r="28" spans="1:4" ht="30">
      <c r="A28" s="3" t="s">
        <v>16</v>
      </c>
      <c r="B28" s="2">
        <f t="shared" ref="B28" si="4">SUM(B24:B27)</f>
        <v>4243331.5984399999</v>
      </c>
      <c r="C28" s="2">
        <f>SUM(C24:C27)</f>
        <v>3281032.9486400001</v>
      </c>
      <c r="D28" s="2">
        <f>SUM(D24:D27)</f>
        <v>3319003.88216</v>
      </c>
    </row>
  </sheetData>
  <mergeCells count="1">
    <mergeCell ref="A1:A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showGridLines="0" topLeftCell="A13" workbookViewId="0">
      <selection activeCell="K9" sqref="K9"/>
    </sheetView>
  </sheetViews>
  <sheetFormatPr defaultRowHeight="15.75"/>
  <cols>
    <col min="1" max="1" width="45" style="42" customWidth="1"/>
    <col min="2" max="3" width="14.140625" style="42" hidden="1" customWidth="1"/>
    <col min="4" max="4" width="15.140625" style="42" hidden="1" customWidth="1"/>
    <col min="5" max="7" width="15.140625" style="42" customWidth="1"/>
    <col min="8" max="8" width="0" style="37" hidden="1" customWidth="1"/>
    <col min="9" max="16384" width="9.140625" style="37"/>
  </cols>
  <sheetData>
    <row r="1" spans="1:8" ht="16.5" thickBot="1"/>
    <row r="2" spans="1:8" ht="25.5" customHeight="1" thickBot="1">
      <c r="A2" s="33" t="s">
        <v>48</v>
      </c>
      <c r="B2" s="21"/>
      <c r="C2" s="43"/>
      <c r="D2" s="43"/>
      <c r="E2" s="43"/>
      <c r="F2" s="43"/>
      <c r="G2" s="44"/>
    </row>
    <row r="3" spans="1:8" ht="23.25" customHeight="1" thickBot="1">
      <c r="A3" s="22" t="s">
        <v>0</v>
      </c>
      <c r="B3" s="22" t="s">
        <v>19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20</v>
      </c>
    </row>
    <row r="4" spans="1:8" ht="21" customHeight="1">
      <c r="A4" s="45" t="s">
        <v>35</v>
      </c>
      <c r="B4" s="46">
        <v>4306</v>
      </c>
      <c r="C4" s="47">
        <v>4104</v>
      </c>
      <c r="D4" s="47">
        <v>4505</v>
      </c>
      <c r="E4" s="47">
        <v>4306</v>
      </c>
      <c r="F4" s="47">
        <v>4104</v>
      </c>
      <c r="G4" s="47">
        <v>4508</v>
      </c>
    </row>
    <row r="5" spans="1:8" ht="21" customHeight="1">
      <c r="A5" s="48" t="s">
        <v>1</v>
      </c>
      <c r="B5" s="49">
        <v>43</v>
      </c>
      <c r="C5" s="48">
        <v>41</v>
      </c>
      <c r="D5" s="48">
        <v>45</v>
      </c>
      <c r="E5" s="48">
        <v>43</v>
      </c>
      <c r="F5" s="48">
        <v>41</v>
      </c>
      <c r="G5" s="48">
        <v>45</v>
      </c>
    </row>
    <row r="6" spans="1:8" ht="21" customHeight="1">
      <c r="A6" s="48" t="s">
        <v>2</v>
      </c>
      <c r="B6" s="50">
        <v>1307</v>
      </c>
      <c r="C6" s="51">
        <v>1395</v>
      </c>
      <c r="D6" s="51">
        <v>1307</v>
      </c>
      <c r="E6" s="51">
        <v>1307</v>
      </c>
      <c r="F6" s="51">
        <v>1395</v>
      </c>
      <c r="G6" s="51">
        <v>1970</v>
      </c>
    </row>
    <row r="7" spans="1:8" ht="21" customHeight="1">
      <c r="A7" s="48" t="s">
        <v>3</v>
      </c>
      <c r="B7" s="50">
        <f t="shared" ref="B7:F7" si="0">B6*B34</f>
        <v>23199250</v>
      </c>
      <c r="C7" s="51">
        <f t="shared" si="0"/>
        <v>24761250</v>
      </c>
      <c r="D7" s="51">
        <f t="shared" si="0"/>
        <v>23199250</v>
      </c>
      <c r="E7" s="51">
        <f t="shared" si="0"/>
        <v>23199250</v>
      </c>
      <c r="F7" s="51">
        <f t="shared" si="0"/>
        <v>24761250</v>
      </c>
      <c r="G7" s="51">
        <f>G6*G34</f>
        <v>34967500</v>
      </c>
    </row>
    <row r="8" spans="1:8" ht="21" customHeight="1">
      <c r="A8" s="48" t="s">
        <v>4</v>
      </c>
      <c r="B8" s="50">
        <f t="shared" ref="B8:F8" si="1">(B5)*B35*B6</f>
        <v>3653065</v>
      </c>
      <c r="C8" s="51">
        <f t="shared" si="1"/>
        <v>3717675</v>
      </c>
      <c r="D8" s="51">
        <f t="shared" si="1"/>
        <v>3822975</v>
      </c>
      <c r="E8" s="51">
        <f t="shared" si="1"/>
        <v>3653065</v>
      </c>
      <c r="F8" s="51">
        <f t="shared" si="1"/>
        <v>3717675</v>
      </c>
      <c r="G8" s="51">
        <f>(G5)*G35*G6</f>
        <v>5762250</v>
      </c>
    </row>
    <row r="9" spans="1:8" ht="21" customHeight="1">
      <c r="A9" s="48" t="s">
        <v>32</v>
      </c>
      <c r="B9" s="50">
        <v>550000</v>
      </c>
      <c r="C9" s="51">
        <v>550000</v>
      </c>
      <c r="D9" s="51">
        <v>550000</v>
      </c>
      <c r="E9" s="51">
        <v>550000</v>
      </c>
      <c r="F9" s="51">
        <v>550000</v>
      </c>
      <c r="G9" s="51">
        <v>550000</v>
      </c>
    </row>
    <row r="10" spans="1:8" ht="21" customHeight="1">
      <c r="A10" s="48" t="s">
        <v>26</v>
      </c>
      <c r="B10" s="50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8" ht="21" customHeight="1" thickBot="1">
      <c r="A11" s="52" t="s">
        <v>36</v>
      </c>
      <c r="B11" s="53">
        <v>850000</v>
      </c>
      <c r="C11" s="54">
        <v>850000</v>
      </c>
      <c r="D11" s="54">
        <v>850000</v>
      </c>
      <c r="E11" s="54">
        <v>850000</v>
      </c>
      <c r="F11" s="54">
        <v>850000</v>
      </c>
      <c r="G11" s="54">
        <v>1700000</v>
      </c>
    </row>
    <row r="12" spans="1:8" ht="22.5" customHeight="1" thickBot="1">
      <c r="A12" s="55" t="s">
        <v>6</v>
      </c>
      <c r="B12" s="56">
        <f t="shared" ref="B12" si="2">SUM(B7:B11)</f>
        <v>28252315</v>
      </c>
      <c r="C12" s="56">
        <f t="shared" ref="C12:D12" si="3">SUM(C7:C11)</f>
        <v>29878925</v>
      </c>
      <c r="D12" s="56">
        <f t="shared" si="3"/>
        <v>28422225</v>
      </c>
      <c r="E12" s="56">
        <f t="shared" ref="E12:G12" si="4">SUM(E7:E11)</f>
        <v>28252315</v>
      </c>
      <c r="F12" s="56">
        <f t="shared" si="4"/>
        <v>29878925</v>
      </c>
      <c r="G12" s="56">
        <f t="shared" si="4"/>
        <v>42979750</v>
      </c>
      <c r="H12" s="37">
        <f>G12/G6</f>
        <v>21817.13197969543</v>
      </c>
    </row>
    <row r="13" spans="1:8" ht="21" customHeight="1">
      <c r="A13" s="57" t="s">
        <v>7</v>
      </c>
      <c r="B13" s="58">
        <f t="shared" ref="B13" si="5">B12*5%</f>
        <v>1412615.75</v>
      </c>
      <c r="C13" s="58">
        <f t="shared" ref="C13:D13" si="6">C12*5%</f>
        <v>1493946.25</v>
      </c>
      <c r="D13" s="58">
        <f t="shared" si="6"/>
        <v>1421111.25</v>
      </c>
      <c r="E13" s="58">
        <f t="shared" ref="E13:G13" si="7">E12*5%</f>
        <v>1412615.75</v>
      </c>
      <c r="F13" s="58">
        <f t="shared" si="7"/>
        <v>1493946.25</v>
      </c>
      <c r="G13" s="58">
        <f t="shared" si="7"/>
        <v>2148987.5</v>
      </c>
    </row>
    <row r="14" spans="1:8" ht="21" hidden="1" customHeight="1">
      <c r="A14" s="59" t="s">
        <v>8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8" ht="33" hidden="1" customHeight="1">
      <c r="A15" s="59" t="s">
        <v>43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8" ht="21" customHeight="1">
      <c r="A16" s="59" t="s">
        <v>9</v>
      </c>
      <c r="B16" s="51">
        <v>30000</v>
      </c>
      <c r="C16" s="51">
        <v>30000</v>
      </c>
      <c r="D16" s="51">
        <v>30000</v>
      </c>
      <c r="E16" s="51">
        <v>30000</v>
      </c>
      <c r="F16" s="51">
        <v>30000</v>
      </c>
      <c r="G16" s="51">
        <v>30000</v>
      </c>
    </row>
    <row r="17" spans="1:7" ht="32.25" customHeight="1">
      <c r="A17" s="59" t="s">
        <v>43</v>
      </c>
      <c r="B17" s="51"/>
      <c r="C17" s="51"/>
      <c r="D17" s="51"/>
      <c r="E17" s="51">
        <v>0</v>
      </c>
      <c r="F17" s="51">
        <v>0</v>
      </c>
      <c r="G17" s="51">
        <v>0</v>
      </c>
    </row>
    <row r="18" spans="1:7" ht="21" customHeight="1">
      <c r="A18" s="59" t="s">
        <v>8</v>
      </c>
      <c r="B18" s="51"/>
      <c r="C18" s="51"/>
      <c r="D18" s="51"/>
      <c r="E18" s="51">
        <v>0</v>
      </c>
      <c r="F18" s="51">
        <v>0</v>
      </c>
      <c r="G18" s="51">
        <v>0</v>
      </c>
    </row>
    <row r="19" spans="1:7" ht="30.75" customHeight="1">
      <c r="A19" s="59" t="s">
        <v>10</v>
      </c>
      <c r="B19" s="51">
        <f t="shared" ref="B19" si="8">10*B6*12</f>
        <v>156840</v>
      </c>
      <c r="C19" s="51">
        <f t="shared" ref="C19:D19" si="9">10*C6*12</f>
        <v>167400</v>
      </c>
      <c r="D19" s="51">
        <f t="shared" si="9"/>
        <v>156840</v>
      </c>
      <c r="E19" s="51">
        <f>10*E6*12</f>
        <v>156840</v>
      </c>
      <c r="F19" s="51">
        <f>10*F6*12</f>
        <v>167400</v>
      </c>
      <c r="G19" s="51">
        <f>10*G6*12</f>
        <v>236400</v>
      </c>
    </row>
    <row r="20" spans="1:7" ht="23.25" customHeight="1" thickBot="1">
      <c r="A20" s="60" t="s">
        <v>11</v>
      </c>
      <c r="B20" s="61">
        <v>100600</v>
      </c>
      <c r="C20" s="61">
        <v>100600</v>
      </c>
      <c r="D20" s="61">
        <v>100600</v>
      </c>
      <c r="E20" s="61">
        <v>100600</v>
      </c>
      <c r="F20" s="61">
        <v>100600</v>
      </c>
      <c r="G20" s="61">
        <v>100600</v>
      </c>
    </row>
    <row r="21" spans="1:7" ht="21" customHeight="1" thickBot="1">
      <c r="A21" s="62" t="s">
        <v>12</v>
      </c>
      <c r="B21" s="63">
        <f t="shared" ref="B21" si="10">SUM(B12:B20)</f>
        <v>29952370.75</v>
      </c>
      <c r="C21" s="63">
        <f t="shared" ref="C21:D21" si="11">SUM(C12:C20)</f>
        <v>31670871.25</v>
      </c>
      <c r="D21" s="63">
        <f t="shared" si="11"/>
        <v>30130776.25</v>
      </c>
      <c r="E21" s="63">
        <f>SUM(E12:E20)</f>
        <v>29952370.75</v>
      </c>
      <c r="F21" s="63">
        <f>SUM(F12:F20)</f>
        <v>31670871.25</v>
      </c>
      <c r="G21" s="63">
        <f>SUM(G12:G20)</f>
        <v>45495737.5</v>
      </c>
    </row>
    <row r="22" spans="1:7" ht="16.5" thickBot="1">
      <c r="A22" s="64"/>
      <c r="B22" s="64"/>
      <c r="C22" s="64"/>
      <c r="D22" s="64"/>
      <c r="E22" s="64"/>
      <c r="F22" s="64"/>
      <c r="G22" s="64"/>
    </row>
    <row r="23" spans="1:7" hidden="1">
      <c r="A23" s="57" t="s">
        <v>37</v>
      </c>
      <c r="B23" s="58">
        <f t="shared" ref="B23" si="12">(B7+B8+B9)*5%</f>
        <v>1370115.75</v>
      </c>
      <c r="C23" s="58">
        <f t="shared" ref="C23:F23" si="13">(C7+C8+C9)*5%</f>
        <v>1451446.25</v>
      </c>
      <c r="D23" s="58">
        <f t="shared" si="13"/>
        <v>1378611.25</v>
      </c>
      <c r="E23" s="58">
        <f t="shared" si="13"/>
        <v>1370115.75</v>
      </c>
      <c r="F23" s="58">
        <f t="shared" si="13"/>
        <v>1451446.25</v>
      </c>
      <c r="G23" s="58">
        <f>(G7+G8+G9)*5%</f>
        <v>2063987.5</v>
      </c>
    </row>
    <row r="24" spans="1:7" hidden="1">
      <c r="A24" s="59" t="s">
        <v>38</v>
      </c>
      <c r="B24" s="51">
        <f t="shared" ref="B24" si="14">(B10+B11)*5%</f>
        <v>42500</v>
      </c>
      <c r="C24" s="51">
        <f t="shared" ref="C24:F24" si="15">(C10+C11)*5%</f>
        <v>42500</v>
      </c>
      <c r="D24" s="51">
        <f t="shared" si="15"/>
        <v>42500</v>
      </c>
      <c r="E24" s="51">
        <f t="shared" si="15"/>
        <v>42500</v>
      </c>
      <c r="F24" s="51">
        <f t="shared" si="15"/>
        <v>42500</v>
      </c>
      <c r="G24" s="51">
        <f>(G10+G11)*5%</f>
        <v>85000</v>
      </c>
    </row>
    <row r="25" spans="1:7" hidden="1">
      <c r="A25" s="59" t="s">
        <v>39</v>
      </c>
      <c r="B25" s="51">
        <f t="shared" ref="B25" si="16">B23*4.35%</f>
        <v>59600.035124999995</v>
      </c>
      <c r="C25" s="51">
        <f t="shared" ref="C25:D25" si="17">C23*4.35%</f>
        <v>63137.911874999998</v>
      </c>
      <c r="D25" s="51">
        <f t="shared" si="17"/>
        <v>59969.589374999996</v>
      </c>
      <c r="E25" s="51">
        <f t="shared" ref="E25:G25" si="18">E23*4.35%</f>
        <v>59600.035124999995</v>
      </c>
      <c r="F25" s="51">
        <f t="shared" si="18"/>
        <v>63137.911874999998</v>
      </c>
      <c r="G25" s="51">
        <f t="shared" si="18"/>
        <v>89783.456249999988</v>
      </c>
    </row>
    <row r="26" spans="1:7" hidden="1">
      <c r="A26" s="104" t="s">
        <v>40</v>
      </c>
      <c r="B26" s="54">
        <f t="shared" ref="B26" si="19">B24*14.5%</f>
        <v>6162.5</v>
      </c>
      <c r="C26" s="54">
        <f t="shared" ref="C26:D26" si="20">C24*14.5%</f>
        <v>6162.5</v>
      </c>
      <c r="D26" s="54">
        <f t="shared" si="20"/>
        <v>6162.5</v>
      </c>
      <c r="E26" s="54">
        <f t="shared" ref="E26:G26" si="21">E24*14.5%</f>
        <v>6162.5</v>
      </c>
      <c r="F26" s="54">
        <f t="shared" si="21"/>
        <v>6162.5</v>
      </c>
      <c r="G26" s="54">
        <f t="shared" si="21"/>
        <v>12325</v>
      </c>
    </row>
    <row r="27" spans="1:7" ht="27" customHeight="1">
      <c r="A27" s="86" t="s">
        <v>14</v>
      </c>
      <c r="B27" s="105">
        <f t="shared" ref="B27" si="22">SUM(B23:B26)</f>
        <v>1478378.2851249999</v>
      </c>
      <c r="C27" s="105">
        <f t="shared" ref="C27:D27" si="23">SUM(C23:C26)</f>
        <v>1563246.661875</v>
      </c>
      <c r="D27" s="105">
        <f t="shared" si="23"/>
        <v>1487243.339375</v>
      </c>
      <c r="E27" s="105">
        <f t="shared" ref="E27:G27" si="24">SUM(E23:E26)</f>
        <v>1478378.2851249999</v>
      </c>
      <c r="F27" s="105">
        <f t="shared" si="24"/>
        <v>1563246.661875</v>
      </c>
      <c r="G27" s="105">
        <f t="shared" si="24"/>
        <v>2251095.9562499998</v>
      </c>
    </row>
    <row r="28" spans="1:7" hidden="1">
      <c r="A28" s="59" t="s">
        <v>41</v>
      </c>
      <c r="B28" s="51">
        <f t="shared" ref="B28" si="25">(B7+B8+B9)*14.9%</f>
        <v>4082944.9350000001</v>
      </c>
      <c r="C28" s="51">
        <f t="shared" ref="C28:F28" si="26">(C7+C8+C9)*14.9%</f>
        <v>4325309.8250000002</v>
      </c>
      <c r="D28" s="51">
        <f t="shared" si="26"/>
        <v>4108261.5249999999</v>
      </c>
      <c r="E28" s="51">
        <f t="shared" si="26"/>
        <v>4082944.9350000001</v>
      </c>
      <c r="F28" s="51">
        <f t="shared" si="26"/>
        <v>4325309.8250000002</v>
      </c>
      <c r="G28" s="51">
        <f>(G7+G8+G9)*14.9%</f>
        <v>6150682.75</v>
      </c>
    </row>
    <row r="29" spans="1:7" hidden="1">
      <c r="A29" s="59" t="s">
        <v>42</v>
      </c>
      <c r="B29" s="51">
        <f t="shared" ref="B29" si="27">(B10+B11)*14.9%</f>
        <v>126650</v>
      </c>
      <c r="C29" s="51">
        <f t="shared" ref="C29:F29" si="28">(C10+C11)*14.9%</f>
        <v>126650</v>
      </c>
      <c r="D29" s="51">
        <f t="shared" si="28"/>
        <v>126650</v>
      </c>
      <c r="E29" s="51">
        <f t="shared" si="28"/>
        <v>126650</v>
      </c>
      <c r="F29" s="51">
        <f t="shared" si="28"/>
        <v>126650</v>
      </c>
      <c r="G29" s="51">
        <f>(G10+G11)*14.9%</f>
        <v>253300</v>
      </c>
    </row>
    <row r="30" spans="1:7" hidden="1">
      <c r="A30" s="59" t="s">
        <v>39</v>
      </c>
      <c r="B30" s="51">
        <f t="shared" ref="B30" si="29">B28*4.35%</f>
        <v>177608.10467249999</v>
      </c>
      <c r="C30" s="51">
        <f t="shared" ref="C30:D30" si="30">C28*4.35%</f>
        <v>188150.9773875</v>
      </c>
      <c r="D30" s="51">
        <f t="shared" si="30"/>
        <v>178709.3763375</v>
      </c>
      <c r="E30" s="51">
        <f t="shared" ref="E30:G30" si="31">E28*4.35%</f>
        <v>177608.10467249999</v>
      </c>
      <c r="F30" s="51">
        <f t="shared" si="31"/>
        <v>188150.9773875</v>
      </c>
      <c r="G30" s="51">
        <f t="shared" si="31"/>
        <v>267554.69962500001</v>
      </c>
    </row>
    <row r="31" spans="1:7" hidden="1">
      <c r="A31" s="59" t="s">
        <v>40</v>
      </c>
      <c r="B31" s="51">
        <f t="shared" ref="B31" si="32">B29*14.5%</f>
        <v>18364.25</v>
      </c>
      <c r="C31" s="51">
        <f t="shared" ref="C31:D31" si="33">C29*14.5%</f>
        <v>18364.25</v>
      </c>
      <c r="D31" s="51">
        <f t="shared" si="33"/>
        <v>18364.25</v>
      </c>
      <c r="E31" s="51">
        <f t="shared" ref="E31:G31" si="34">E29*14.5%</f>
        <v>18364.25</v>
      </c>
      <c r="F31" s="51">
        <f t="shared" si="34"/>
        <v>18364.25</v>
      </c>
      <c r="G31" s="51">
        <f t="shared" si="34"/>
        <v>36728.5</v>
      </c>
    </row>
    <row r="32" spans="1:7" ht="32.25" thickBot="1">
      <c r="A32" s="14" t="s">
        <v>16</v>
      </c>
      <c r="B32" s="61">
        <f t="shared" ref="B32" si="35">SUM(B28:B31)</f>
        <v>4405567.2896725005</v>
      </c>
      <c r="C32" s="61">
        <f>SUM(C28:C31)</f>
        <v>4658475.0523875002</v>
      </c>
      <c r="D32" s="61">
        <f>SUM(D28:D31)</f>
        <v>4431985.1513375007</v>
      </c>
      <c r="E32" s="61">
        <f t="shared" ref="E32:F32" si="36">SUM(E28:E31)</f>
        <v>4405567.2896725005</v>
      </c>
      <c r="F32" s="61">
        <f t="shared" si="36"/>
        <v>4658475.0523875002</v>
      </c>
      <c r="G32" s="61">
        <f>SUM(G28:G31)</f>
        <v>6708265.9496250004</v>
      </c>
    </row>
    <row r="33" spans="1:7" ht="16.5" thickBot="1">
      <c r="A33" s="64"/>
      <c r="B33" s="64"/>
      <c r="C33" s="64"/>
      <c r="D33" s="64"/>
      <c r="E33" s="64"/>
      <c r="F33" s="64"/>
      <c r="G33" s="64"/>
    </row>
    <row r="34" spans="1:7" ht="20.25" customHeight="1">
      <c r="A34" s="65" t="s">
        <v>34</v>
      </c>
      <c r="B34" s="66">
        <v>17750</v>
      </c>
      <c r="C34" s="66">
        <v>17750</v>
      </c>
      <c r="D34" s="67">
        <v>17750</v>
      </c>
      <c r="E34" s="67">
        <v>17750</v>
      </c>
      <c r="F34" s="67">
        <v>17750</v>
      </c>
      <c r="G34" s="67">
        <v>17750</v>
      </c>
    </row>
    <row r="35" spans="1:7" ht="20.25" customHeight="1">
      <c r="A35" s="68" t="s">
        <v>4</v>
      </c>
      <c r="B35" s="69">
        <v>65</v>
      </c>
      <c r="C35" s="69">
        <v>65</v>
      </c>
      <c r="D35" s="70">
        <v>65</v>
      </c>
      <c r="E35" s="70">
        <v>65</v>
      </c>
      <c r="F35" s="70">
        <v>65</v>
      </c>
      <c r="G35" s="70">
        <v>65</v>
      </c>
    </row>
    <row r="36" spans="1:7" ht="20.25" customHeight="1" thickBot="1">
      <c r="A36" s="101" t="s">
        <v>44</v>
      </c>
      <c r="B36" s="102">
        <v>0</v>
      </c>
      <c r="C36" s="102">
        <v>0</v>
      </c>
      <c r="D36" s="103">
        <v>0</v>
      </c>
      <c r="E36" s="103">
        <v>0</v>
      </c>
      <c r="F36" s="103">
        <v>0</v>
      </c>
      <c r="G36" s="103">
        <v>0</v>
      </c>
    </row>
    <row r="37" spans="1:7" ht="20.25" customHeight="1" thickBot="1">
      <c r="A37" s="30" t="s">
        <v>46</v>
      </c>
      <c r="B37" s="35"/>
      <c r="C37" s="35"/>
      <c r="D37" s="35"/>
      <c r="E37" s="35"/>
      <c r="F37" s="35"/>
      <c r="G37" s="36"/>
    </row>
    <row r="38" spans="1:7" ht="20.25" customHeight="1" thickBot="1">
      <c r="A38" s="31" t="s">
        <v>45</v>
      </c>
      <c r="B38" s="38"/>
      <c r="C38" s="38"/>
      <c r="D38" s="38"/>
      <c r="E38" s="38"/>
      <c r="F38" s="38"/>
      <c r="G38" s="39"/>
    </row>
    <row r="39" spans="1:7" ht="20.25" customHeight="1" thickBot="1">
      <c r="A39" s="72" t="s">
        <v>47</v>
      </c>
      <c r="B39" s="73"/>
      <c r="C39" s="73"/>
      <c r="D39" s="73"/>
      <c r="E39" s="73"/>
      <c r="F39" s="73"/>
      <c r="G39" s="74"/>
    </row>
    <row r="40" spans="1:7" ht="20.25" customHeight="1" thickBot="1">
      <c r="A40" s="72" t="s">
        <v>49</v>
      </c>
      <c r="B40" s="73"/>
      <c r="C40" s="73"/>
      <c r="D40" s="73"/>
      <c r="E40" s="74"/>
      <c r="F40" s="74"/>
      <c r="G40" s="7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opLeftCell="A14" workbookViewId="0">
      <selection activeCell="F33" sqref="F33"/>
    </sheetView>
  </sheetViews>
  <sheetFormatPr defaultRowHeight="15.75"/>
  <cols>
    <col min="1" max="1" width="36.7109375" style="19" customWidth="1"/>
    <col min="2" max="5" width="13" style="19" customWidth="1"/>
    <col min="6" max="6" width="0.5703125" style="20" customWidth="1"/>
    <col min="7" max="16384" width="9.140625" style="20"/>
  </cols>
  <sheetData>
    <row r="1" spans="1:5" hidden="1"/>
    <row r="2" spans="1:5" ht="16.5" thickBot="1"/>
    <row r="3" spans="1:5" s="37" customFormat="1" ht="27.75" customHeight="1" thickBot="1">
      <c r="A3" s="76" t="s">
        <v>50</v>
      </c>
      <c r="B3" s="21"/>
      <c r="C3" s="21"/>
      <c r="D3" s="43"/>
      <c r="E3" s="44"/>
    </row>
    <row r="4" spans="1:5" s="37" customFormat="1" ht="24" customHeight="1" thickBot="1">
      <c r="A4" s="34" t="s">
        <v>0</v>
      </c>
      <c r="B4" s="22" t="s">
        <v>19</v>
      </c>
      <c r="C4" s="22" t="s">
        <v>19</v>
      </c>
      <c r="D4" s="34" t="s">
        <v>20</v>
      </c>
      <c r="E4" s="22" t="s">
        <v>20</v>
      </c>
    </row>
    <row r="5" spans="1:5" ht="20.25" customHeight="1">
      <c r="A5" s="27" t="s">
        <v>35</v>
      </c>
      <c r="B5" s="23">
        <v>205</v>
      </c>
      <c r="C5" s="23">
        <v>3307</v>
      </c>
      <c r="D5" s="23">
        <v>1309</v>
      </c>
      <c r="E5" s="23">
        <v>511</v>
      </c>
    </row>
    <row r="6" spans="1:5" ht="20.25" customHeight="1">
      <c r="A6" s="29" t="s">
        <v>1</v>
      </c>
      <c r="B6" s="24">
        <v>2</v>
      </c>
      <c r="C6" s="24">
        <v>33</v>
      </c>
      <c r="D6" s="24">
        <v>13</v>
      </c>
      <c r="E6" s="24">
        <v>5</v>
      </c>
    </row>
    <row r="7" spans="1:5" ht="20.25" customHeight="1">
      <c r="A7" s="29" t="s">
        <v>2</v>
      </c>
      <c r="B7" s="25">
        <v>1200</v>
      </c>
      <c r="C7" s="25">
        <v>1255</v>
      </c>
      <c r="D7" s="25">
        <v>1790</v>
      </c>
      <c r="E7" s="25">
        <v>1876</v>
      </c>
    </row>
    <row r="8" spans="1:5" ht="20.25" customHeight="1">
      <c r="A8" s="29" t="s">
        <v>3</v>
      </c>
      <c r="B8" s="25">
        <f t="shared" ref="B8" si="0">B7*B33</f>
        <v>18000000</v>
      </c>
      <c r="C8" s="25">
        <f t="shared" ref="C8:E8" si="1">C7*C33</f>
        <v>18825000</v>
      </c>
      <c r="D8" s="25">
        <f t="shared" si="1"/>
        <v>26850000</v>
      </c>
      <c r="E8" s="25">
        <f t="shared" si="1"/>
        <v>28140000</v>
      </c>
    </row>
    <row r="9" spans="1:5" ht="20.25" customHeight="1">
      <c r="A9" s="29" t="s">
        <v>4</v>
      </c>
      <c r="B9" s="25">
        <f t="shared" ref="B9" si="2">(B6)*B34*B7</f>
        <v>156000</v>
      </c>
      <c r="C9" s="25">
        <f t="shared" ref="C9:E9" si="3">(C6)*C34*C7</f>
        <v>2691975</v>
      </c>
      <c r="D9" s="25">
        <f t="shared" si="3"/>
        <v>1512550</v>
      </c>
      <c r="E9" s="25">
        <f t="shared" si="3"/>
        <v>609700</v>
      </c>
    </row>
    <row r="10" spans="1:5" ht="20.25" customHeight="1">
      <c r="A10" s="29" t="s">
        <v>32</v>
      </c>
      <c r="B10" s="25">
        <v>550000</v>
      </c>
      <c r="C10" s="25">
        <v>550000</v>
      </c>
      <c r="D10" s="25">
        <v>550000</v>
      </c>
      <c r="E10" s="25">
        <v>550000</v>
      </c>
    </row>
    <row r="11" spans="1:5" ht="20.25" customHeight="1">
      <c r="A11" s="29" t="s">
        <v>26</v>
      </c>
      <c r="B11" s="25">
        <v>0</v>
      </c>
      <c r="C11" s="25">
        <v>0</v>
      </c>
      <c r="D11" s="25">
        <v>0</v>
      </c>
      <c r="E11" s="25">
        <f>275*E7</f>
        <v>515900</v>
      </c>
    </row>
    <row r="12" spans="1:5" ht="20.25" customHeight="1" thickBot="1">
      <c r="A12" s="85" t="s">
        <v>36</v>
      </c>
      <c r="B12" s="26">
        <v>850000</v>
      </c>
      <c r="C12" s="26">
        <v>850000</v>
      </c>
      <c r="D12" s="26">
        <v>1700000</v>
      </c>
      <c r="E12" s="26">
        <v>1700000</v>
      </c>
    </row>
    <row r="13" spans="1:5" ht="20.25" customHeight="1" thickBot="1">
      <c r="A13" s="17" t="s">
        <v>6</v>
      </c>
      <c r="B13" s="18">
        <f t="shared" ref="B13" si="4">SUM(B8:B12)</f>
        <v>19556000</v>
      </c>
      <c r="C13" s="18">
        <f t="shared" ref="C13:E13" si="5">SUM(C8:C12)</f>
        <v>22916975</v>
      </c>
      <c r="D13" s="18">
        <f t="shared" si="5"/>
        <v>30612550</v>
      </c>
      <c r="E13" s="18">
        <f t="shared" si="5"/>
        <v>31515600</v>
      </c>
    </row>
    <row r="14" spans="1:5" ht="20.25" customHeight="1">
      <c r="A14" s="27" t="s">
        <v>7</v>
      </c>
      <c r="B14" s="28">
        <f t="shared" ref="B14" si="6">B13*5%</f>
        <v>977800</v>
      </c>
      <c r="C14" s="28">
        <f t="shared" ref="C14:E14" si="7">C13*5%</f>
        <v>1145848.75</v>
      </c>
      <c r="D14" s="28">
        <f t="shared" si="7"/>
        <v>1530627.5</v>
      </c>
      <c r="E14" s="28">
        <f t="shared" si="7"/>
        <v>1575780</v>
      </c>
    </row>
    <row r="15" spans="1:5" ht="20.25" customHeight="1">
      <c r="A15" s="29" t="s">
        <v>8</v>
      </c>
      <c r="B15" s="25">
        <f t="shared" ref="B15" si="8">B13*1%</f>
        <v>195560</v>
      </c>
      <c r="C15" s="25">
        <f t="shared" ref="C15:E15" si="9">C13*1%</f>
        <v>229169.75</v>
      </c>
      <c r="D15" s="25">
        <f t="shared" si="9"/>
        <v>306125.5</v>
      </c>
      <c r="E15" s="25">
        <f t="shared" si="9"/>
        <v>315156</v>
      </c>
    </row>
    <row r="16" spans="1:5" ht="31.5" customHeight="1">
      <c r="A16" s="29" t="s">
        <v>52</v>
      </c>
      <c r="B16" s="25">
        <f t="shared" ref="B16" si="10">(B8+B9+B10)*4.35%+(B11+B12)*14.5%</f>
        <v>936961</v>
      </c>
      <c r="C16" s="25">
        <f t="shared" ref="C16:E16" si="11">(C8+C9+C10)*4.35%+(C11+C12)*14.5%</f>
        <v>1083163.4124999999</v>
      </c>
      <c r="D16" s="25">
        <f t="shared" si="11"/>
        <v>1504195.9249999998</v>
      </c>
      <c r="E16" s="25">
        <f t="shared" si="11"/>
        <v>1595842.45</v>
      </c>
    </row>
    <row r="17" spans="1:5" ht="20.25" customHeight="1">
      <c r="A17" s="29" t="s">
        <v>9</v>
      </c>
      <c r="B17" s="25">
        <v>30000</v>
      </c>
      <c r="C17" s="25">
        <v>30000</v>
      </c>
      <c r="D17" s="25">
        <v>30000</v>
      </c>
      <c r="E17" s="25">
        <v>30000</v>
      </c>
    </row>
    <row r="18" spans="1:5" ht="34.5" customHeight="1">
      <c r="A18" s="29" t="s">
        <v>10</v>
      </c>
      <c r="B18" s="25">
        <f t="shared" ref="B18" si="12">10*B7*12</f>
        <v>144000</v>
      </c>
      <c r="C18" s="25">
        <f t="shared" ref="C18:E18" si="13">10*C7*12</f>
        <v>150600</v>
      </c>
      <c r="D18" s="25">
        <f t="shared" si="13"/>
        <v>214800</v>
      </c>
      <c r="E18" s="25">
        <f t="shared" si="13"/>
        <v>225120</v>
      </c>
    </row>
    <row r="19" spans="1:5" ht="20.25" customHeight="1" thickBot="1">
      <c r="A19" s="85" t="s">
        <v>11</v>
      </c>
      <c r="B19" s="26">
        <v>100600</v>
      </c>
      <c r="C19" s="26">
        <v>100600</v>
      </c>
      <c r="D19" s="26">
        <v>100600</v>
      </c>
      <c r="E19" s="26">
        <v>100600</v>
      </c>
    </row>
    <row r="20" spans="1:5" ht="20.25" customHeight="1" thickBot="1">
      <c r="A20" s="15" t="s">
        <v>12</v>
      </c>
      <c r="B20" s="16">
        <f t="shared" ref="B20" si="14">SUM(B13:B19)</f>
        <v>21940921</v>
      </c>
      <c r="C20" s="16">
        <f t="shared" ref="C20:E20" si="15">SUM(C13:C19)</f>
        <v>25656356.912500001</v>
      </c>
      <c r="D20" s="16">
        <f t="shared" si="15"/>
        <v>34298898.924999997</v>
      </c>
      <c r="E20" s="16">
        <f t="shared" si="15"/>
        <v>35358098.450000003</v>
      </c>
    </row>
    <row r="21" spans="1:5" ht="16.5" thickBot="1"/>
    <row r="22" spans="1:5" hidden="1">
      <c r="A22" s="27" t="s">
        <v>37</v>
      </c>
      <c r="B22" s="28">
        <f t="shared" ref="B22" si="16">(B8+B9+B10)*5%</f>
        <v>935300</v>
      </c>
      <c r="C22" s="28">
        <f t="shared" ref="C22:E22" si="17">(C8+C9+C10)*5%</f>
        <v>1103348.75</v>
      </c>
      <c r="D22" s="28">
        <f t="shared" si="17"/>
        <v>1445627.5</v>
      </c>
      <c r="E22" s="28">
        <f t="shared" si="17"/>
        <v>1464985</v>
      </c>
    </row>
    <row r="23" spans="1:5" hidden="1">
      <c r="A23" s="29" t="s">
        <v>38</v>
      </c>
      <c r="B23" s="25">
        <f t="shared" ref="B23" si="18">(B11+B12)*5%</f>
        <v>42500</v>
      </c>
      <c r="C23" s="25">
        <f t="shared" ref="C23:E23" si="19">(C11+C12)*5%</f>
        <v>42500</v>
      </c>
      <c r="D23" s="25">
        <f t="shared" si="19"/>
        <v>85000</v>
      </c>
      <c r="E23" s="25">
        <f t="shared" si="19"/>
        <v>110795</v>
      </c>
    </row>
    <row r="24" spans="1:5" hidden="1">
      <c r="A24" s="29" t="s">
        <v>39</v>
      </c>
      <c r="B24" s="25">
        <f t="shared" ref="B24" si="20">B22*4.35%</f>
        <v>40685.549999999996</v>
      </c>
      <c r="C24" s="25">
        <f t="shared" ref="C24:E24" si="21">C22*4.35%</f>
        <v>47995.670624999999</v>
      </c>
      <c r="D24" s="25">
        <f t="shared" si="21"/>
        <v>62884.796249999992</v>
      </c>
      <c r="E24" s="25">
        <f t="shared" si="21"/>
        <v>63726.847499999996</v>
      </c>
    </row>
    <row r="25" spans="1:5" hidden="1">
      <c r="A25" s="85" t="s">
        <v>40</v>
      </c>
      <c r="B25" s="26">
        <f t="shared" ref="B25" si="22">B23*14.5%</f>
        <v>6162.5</v>
      </c>
      <c r="C25" s="26">
        <f t="shared" ref="C25:E25" si="23">C23*14.5%</f>
        <v>6162.5</v>
      </c>
      <c r="D25" s="26">
        <f t="shared" si="23"/>
        <v>12325</v>
      </c>
      <c r="E25" s="26">
        <f t="shared" si="23"/>
        <v>16065.275</v>
      </c>
    </row>
    <row r="26" spans="1:5" ht="32.25" customHeight="1" thickBot="1">
      <c r="A26" s="86" t="s">
        <v>14</v>
      </c>
      <c r="B26" s="87">
        <f t="shared" ref="B26" si="24">SUM(B22:B25)</f>
        <v>1024648.05</v>
      </c>
      <c r="C26" s="87">
        <f t="shared" ref="C26:E26" si="25">SUM(C22:C25)</f>
        <v>1200006.920625</v>
      </c>
      <c r="D26" s="87">
        <f t="shared" si="25"/>
        <v>1605837.2962499999</v>
      </c>
      <c r="E26" s="87">
        <f t="shared" si="25"/>
        <v>1655572.1224999998</v>
      </c>
    </row>
    <row r="27" spans="1:5" hidden="1">
      <c r="A27" s="29" t="s">
        <v>41</v>
      </c>
      <c r="B27" s="25">
        <f t="shared" ref="B27" si="26">(B8+B9+B10)*14.9%</f>
        <v>2787194</v>
      </c>
      <c r="C27" s="25">
        <f t="shared" ref="C27:E27" si="27">(C8+C9+C10)*14.9%</f>
        <v>3287979.2749999999</v>
      </c>
      <c r="D27" s="25">
        <f t="shared" si="27"/>
        <v>4307969.95</v>
      </c>
      <c r="E27" s="25">
        <f t="shared" si="27"/>
        <v>4365655.3</v>
      </c>
    </row>
    <row r="28" spans="1:5" hidden="1">
      <c r="A28" s="29" t="s">
        <v>42</v>
      </c>
      <c r="B28" s="25">
        <f t="shared" ref="B28" si="28">(B11+B12)*14.9%</f>
        <v>126650</v>
      </c>
      <c r="C28" s="25">
        <f t="shared" ref="C28:E28" si="29">(C11+C12)*14.9%</f>
        <v>126650</v>
      </c>
      <c r="D28" s="25">
        <f t="shared" si="29"/>
        <v>253300</v>
      </c>
      <c r="E28" s="25">
        <f t="shared" si="29"/>
        <v>330169.09999999998</v>
      </c>
    </row>
    <row r="29" spans="1:5" hidden="1">
      <c r="A29" s="29" t="s">
        <v>39</v>
      </c>
      <c r="B29" s="25">
        <f t="shared" ref="B29" si="30">B27*4.35%</f>
        <v>121242.939</v>
      </c>
      <c r="C29" s="25">
        <f t="shared" ref="C29:E29" si="31">C27*4.35%</f>
        <v>143027.0984625</v>
      </c>
      <c r="D29" s="25">
        <f t="shared" si="31"/>
        <v>187396.69282500001</v>
      </c>
      <c r="E29" s="25">
        <f t="shared" si="31"/>
        <v>189906.00554999997</v>
      </c>
    </row>
    <row r="30" spans="1:5" hidden="1">
      <c r="A30" s="85" t="s">
        <v>40</v>
      </c>
      <c r="B30" s="26">
        <f t="shared" ref="B30" si="32">B28*14.5%</f>
        <v>18364.25</v>
      </c>
      <c r="C30" s="26">
        <f t="shared" ref="C30:E30" si="33">C28*14.5%</f>
        <v>18364.25</v>
      </c>
      <c r="D30" s="26">
        <f t="shared" si="33"/>
        <v>36728.5</v>
      </c>
      <c r="E30" s="26">
        <f t="shared" si="33"/>
        <v>47874.519499999995</v>
      </c>
    </row>
    <row r="31" spans="1:5" ht="33.75" customHeight="1" thickBot="1">
      <c r="A31" s="62" t="s">
        <v>16</v>
      </c>
      <c r="B31" s="88">
        <f t="shared" ref="B31:C31" si="34">SUM(B27:B30)</f>
        <v>3053451.1889999998</v>
      </c>
      <c r="C31" s="88">
        <f t="shared" si="34"/>
        <v>3576020.6234625001</v>
      </c>
      <c r="D31" s="88">
        <f>SUM(D27:D30)</f>
        <v>4785395.142825</v>
      </c>
      <c r="E31" s="88">
        <f>SUM(E27:E30)</f>
        <v>4933604.9250499997</v>
      </c>
    </row>
    <row r="32" spans="1:5" ht="16.5" thickBot="1"/>
    <row r="33" spans="1:5" ht="20.25" customHeight="1">
      <c r="A33" s="77" t="s">
        <v>34</v>
      </c>
      <c r="B33" s="78">
        <v>15000</v>
      </c>
      <c r="C33" s="78">
        <v>15000</v>
      </c>
      <c r="D33" s="78">
        <v>15000</v>
      </c>
      <c r="E33" s="79">
        <v>15000</v>
      </c>
    </row>
    <row r="34" spans="1:5" ht="20.25" customHeight="1">
      <c r="A34" s="80" t="s">
        <v>4</v>
      </c>
      <c r="B34" s="75">
        <v>65</v>
      </c>
      <c r="C34" s="75">
        <v>65</v>
      </c>
      <c r="D34" s="75">
        <v>65</v>
      </c>
      <c r="E34" s="81">
        <v>65</v>
      </c>
    </row>
    <row r="35" spans="1:5" ht="20.25" customHeight="1" thickBot="1">
      <c r="A35" s="82" t="s">
        <v>26</v>
      </c>
      <c r="B35" s="83">
        <v>0</v>
      </c>
      <c r="C35" s="83">
        <v>0</v>
      </c>
      <c r="D35" s="83">
        <v>0</v>
      </c>
      <c r="E35" s="84">
        <v>275</v>
      </c>
    </row>
    <row r="36" spans="1:5" s="37" customFormat="1" ht="20.25" customHeight="1" thickBot="1">
      <c r="A36" s="30" t="s">
        <v>46</v>
      </c>
      <c r="B36" s="35"/>
      <c r="C36" s="35"/>
      <c r="D36" s="35"/>
      <c r="E36" s="71"/>
    </row>
    <row r="37" spans="1:5" s="37" customFormat="1" ht="20.25" customHeight="1" thickBot="1">
      <c r="A37" s="31" t="s">
        <v>45</v>
      </c>
      <c r="B37" s="38"/>
      <c r="C37" s="38"/>
      <c r="D37" s="38"/>
      <c r="E37" s="39"/>
    </row>
    <row r="38" spans="1:5" s="37" customFormat="1" ht="20.25" customHeight="1" thickBot="1">
      <c r="A38" s="72" t="s">
        <v>51</v>
      </c>
      <c r="B38" s="73"/>
      <c r="C38" s="73"/>
      <c r="D38" s="73"/>
      <c r="E38" s="74"/>
    </row>
    <row r="39" spans="1:5">
      <c r="E39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9"/>
  <sheetViews>
    <sheetView topLeftCell="A14" workbookViewId="0">
      <selection activeCell="E33" sqref="E33"/>
    </sheetView>
  </sheetViews>
  <sheetFormatPr defaultRowHeight="15.75"/>
  <cols>
    <col min="1" max="1" width="42.7109375" style="19" customWidth="1"/>
    <col min="2" max="4" width="14.28515625" style="19" customWidth="1"/>
    <col min="5" max="16384" width="9.140625" style="20"/>
  </cols>
  <sheetData>
    <row r="1" spans="1:4" ht="15" hidden="1" customHeight="1"/>
    <row r="2" spans="1:4" ht="16.5" thickBot="1"/>
    <row r="3" spans="1:4" s="37" customFormat="1" ht="24.75" customHeight="1" thickBot="1">
      <c r="A3" s="76" t="s">
        <v>53</v>
      </c>
      <c r="B3" s="43"/>
      <c r="C3" s="43"/>
      <c r="D3" s="44"/>
    </row>
    <row r="4" spans="1:4" s="37" customFormat="1" ht="28.5" customHeight="1" thickBot="1">
      <c r="A4" s="22" t="s">
        <v>0</v>
      </c>
      <c r="B4" s="22" t="s">
        <v>20</v>
      </c>
      <c r="C4" s="22" t="s">
        <v>20</v>
      </c>
      <c r="D4" s="22" t="s">
        <v>20</v>
      </c>
    </row>
    <row r="5" spans="1:4" ht="20.25" customHeight="1">
      <c r="A5" s="27" t="s">
        <v>35</v>
      </c>
      <c r="B5" s="23">
        <v>2105</v>
      </c>
      <c r="C5" s="23">
        <v>507</v>
      </c>
      <c r="D5" s="23">
        <v>2007</v>
      </c>
    </row>
    <row r="6" spans="1:4" ht="20.25" customHeight="1">
      <c r="A6" s="29" t="s">
        <v>1</v>
      </c>
      <c r="B6" s="24">
        <v>21</v>
      </c>
      <c r="C6" s="24">
        <v>5</v>
      </c>
      <c r="D6" s="24">
        <v>20</v>
      </c>
    </row>
    <row r="7" spans="1:4" ht="20.25" customHeight="1">
      <c r="A7" s="29" t="s">
        <v>2</v>
      </c>
      <c r="B7" s="25">
        <v>1703</v>
      </c>
      <c r="C7" s="25">
        <v>1826</v>
      </c>
      <c r="D7" s="25">
        <v>1860</v>
      </c>
    </row>
    <row r="8" spans="1:4" ht="20.25" customHeight="1">
      <c r="A8" s="29" t="s">
        <v>3</v>
      </c>
      <c r="B8" s="25">
        <f t="shared" ref="B8:D8" si="0">B7*B33</f>
        <v>25970750</v>
      </c>
      <c r="C8" s="25">
        <f t="shared" ref="C8" si="1">C7*C33</f>
        <v>27846500</v>
      </c>
      <c r="D8" s="25">
        <f t="shared" si="0"/>
        <v>28365000</v>
      </c>
    </row>
    <row r="9" spans="1:4" ht="20.25" customHeight="1">
      <c r="A9" s="29" t="s">
        <v>4</v>
      </c>
      <c r="B9" s="25">
        <f t="shared" ref="B9:D9" si="2">(B6)*B34*B7</f>
        <v>2324595</v>
      </c>
      <c r="C9" s="25">
        <f t="shared" ref="C9" si="3">(C6)*C34*C7</f>
        <v>593450</v>
      </c>
      <c r="D9" s="25">
        <f t="shared" si="2"/>
        <v>2418000</v>
      </c>
    </row>
    <row r="10" spans="1:4" ht="20.25" customHeight="1">
      <c r="A10" s="29" t="s">
        <v>32</v>
      </c>
      <c r="B10" s="25">
        <v>550000</v>
      </c>
      <c r="C10" s="25">
        <v>550000</v>
      </c>
      <c r="D10" s="25">
        <v>550000</v>
      </c>
    </row>
    <row r="11" spans="1:4" ht="20.25" customHeight="1">
      <c r="A11" s="29" t="s">
        <v>26</v>
      </c>
      <c r="B11" s="25">
        <v>0</v>
      </c>
      <c r="C11" s="25">
        <f>250*C7</f>
        <v>456500</v>
      </c>
      <c r="D11" s="25">
        <f>250*D7</f>
        <v>465000</v>
      </c>
    </row>
    <row r="12" spans="1:4" ht="20.25" customHeight="1" thickBot="1">
      <c r="A12" s="85" t="s">
        <v>36</v>
      </c>
      <c r="B12" s="26">
        <v>1700000</v>
      </c>
      <c r="C12" s="26">
        <v>1700000</v>
      </c>
      <c r="D12" s="26">
        <v>1700000</v>
      </c>
    </row>
    <row r="13" spans="1:4" ht="22.5" customHeight="1" thickBot="1">
      <c r="A13" s="17" t="s">
        <v>6</v>
      </c>
      <c r="B13" s="18">
        <f t="shared" ref="B13:D13" si="4">SUM(B8:B12)</f>
        <v>30545345</v>
      </c>
      <c r="C13" s="18">
        <f t="shared" ref="C13" si="5">SUM(C8:C12)</f>
        <v>31146450</v>
      </c>
      <c r="D13" s="18">
        <f t="shared" si="4"/>
        <v>33498000</v>
      </c>
    </row>
    <row r="14" spans="1:4" ht="19.5" customHeight="1">
      <c r="A14" s="27" t="s">
        <v>7</v>
      </c>
      <c r="B14" s="28">
        <f t="shared" ref="B14:D14" si="6">B13*5%</f>
        <v>1527267.25</v>
      </c>
      <c r="C14" s="28">
        <f t="shared" ref="C14" si="7">C13*5%</f>
        <v>1557322.5</v>
      </c>
      <c r="D14" s="28">
        <f t="shared" si="6"/>
        <v>1674900</v>
      </c>
    </row>
    <row r="15" spans="1:4" ht="19.5" customHeight="1">
      <c r="A15" s="29" t="s">
        <v>8</v>
      </c>
      <c r="B15" s="25">
        <f t="shared" ref="B15:D15" si="8">B13*1%</f>
        <v>305453.45</v>
      </c>
      <c r="C15" s="25">
        <f t="shared" ref="C15" si="9">C13*1%</f>
        <v>311464.5</v>
      </c>
      <c r="D15" s="25">
        <f t="shared" si="8"/>
        <v>334980</v>
      </c>
    </row>
    <row r="16" spans="1:4" ht="32.25" customHeight="1">
      <c r="A16" s="29" t="s">
        <v>52</v>
      </c>
      <c r="B16" s="25">
        <f t="shared" ref="B16:D16" si="10">(B8+B9+B10)*4.35%+(B11+B12)*14.5%</f>
        <v>1501272.5074999998</v>
      </c>
      <c r="C16" s="25">
        <f t="shared" ref="C16" si="11">(C8+C9+C10)*4.35%+(C11+C12)*14.5%</f>
        <v>1573755.325</v>
      </c>
      <c r="D16" s="25">
        <f t="shared" si="10"/>
        <v>1676910.5</v>
      </c>
    </row>
    <row r="17" spans="1:4" ht="19.5" customHeight="1">
      <c r="A17" s="29" t="s">
        <v>9</v>
      </c>
      <c r="B17" s="25">
        <v>30000</v>
      </c>
      <c r="C17" s="25">
        <v>30000</v>
      </c>
      <c r="D17" s="25">
        <v>30000</v>
      </c>
    </row>
    <row r="18" spans="1:4" ht="31.5">
      <c r="A18" s="29" t="s">
        <v>10</v>
      </c>
      <c r="B18" s="25">
        <f t="shared" ref="B18:D18" si="12">10*B7*12</f>
        <v>204360</v>
      </c>
      <c r="C18" s="25">
        <f t="shared" ref="C18" si="13">10*C7*12</f>
        <v>219120</v>
      </c>
      <c r="D18" s="25">
        <f t="shared" si="12"/>
        <v>223200</v>
      </c>
    </row>
    <row r="19" spans="1:4" ht="16.5" thickBot="1">
      <c r="A19" s="85" t="s">
        <v>11</v>
      </c>
      <c r="B19" s="26">
        <v>100600</v>
      </c>
      <c r="C19" s="26">
        <v>100600</v>
      </c>
      <c r="D19" s="26">
        <v>100600</v>
      </c>
    </row>
    <row r="20" spans="1:4" ht="21" customHeight="1" thickBot="1">
      <c r="A20" s="15" t="s">
        <v>12</v>
      </c>
      <c r="B20" s="16">
        <f t="shared" ref="B20:D20" si="14">SUM(B13:B19)</f>
        <v>34214298.207499996</v>
      </c>
      <c r="C20" s="16">
        <f t="shared" ref="C20" si="15">SUM(C13:C19)</f>
        <v>34938712.325000003</v>
      </c>
      <c r="D20" s="16">
        <f t="shared" si="14"/>
        <v>37538590.5</v>
      </c>
    </row>
    <row r="21" spans="1:4" ht="16.5" thickBot="1"/>
    <row r="22" spans="1:4" hidden="1">
      <c r="A22" s="27" t="s">
        <v>37</v>
      </c>
      <c r="B22" s="28">
        <f t="shared" ref="B22:D22" si="16">(B8+B9+B10)*5%</f>
        <v>1442267.25</v>
      </c>
      <c r="C22" s="28">
        <f t="shared" ref="C22" si="17">(C8+C9+C10)*5%</f>
        <v>1449497.5</v>
      </c>
      <c r="D22" s="28">
        <f t="shared" si="16"/>
        <v>1566650</v>
      </c>
    </row>
    <row r="23" spans="1:4" hidden="1">
      <c r="A23" s="29" t="s">
        <v>38</v>
      </c>
      <c r="B23" s="25">
        <f t="shared" ref="B23:D23" si="18">(B11+B12)*5%</f>
        <v>85000</v>
      </c>
      <c r="C23" s="25">
        <f t="shared" ref="C23" si="19">(C11+C12)*5%</f>
        <v>107825</v>
      </c>
      <c r="D23" s="25">
        <f t="shared" si="18"/>
        <v>108250</v>
      </c>
    </row>
    <row r="24" spans="1:4" hidden="1">
      <c r="A24" s="29" t="s">
        <v>39</v>
      </c>
      <c r="B24" s="25">
        <f t="shared" ref="B24:D24" si="20">B22*4.35%</f>
        <v>62738.625374999996</v>
      </c>
      <c r="C24" s="25">
        <f t="shared" ref="C24" si="21">C22*4.35%</f>
        <v>63053.141249999993</v>
      </c>
      <c r="D24" s="25">
        <f t="shared" si="20"/>
        <v>68149.274999999994</v>
      </c>
    </row>
    <row r="25" spans="1:4" ht="16.5" hidden="1" thickBot="1">
      <c r="A25" s="85" t="s">
        <v>40</v>
      </c>
      <c r="B25" s="26">
        <f t="shared" ref="B25:D25" si="22">B23*14.5%</f>
        <v>12325</v>
      </c>
      <c r="C25" s="26">
        <f t="shared" ref="C25" si="23">C23*14.5%</f>
        <v>15634.624999999998</v>
      </c>
      <c r="D25" s="26">
        <f t="shared" si="22"/>
        <v>15696.249999999998</v>
      </c>
    </row>
    <row r="26" spans="1:4" ht="16.5" thickBot="1">
      <c r="A26" s="86" t="s">
        <v>14</v>
      </c>
      <c r="B26" s="87">
        <f t="shared" ref="B26:D26" si="24">SUM(B22:B25)</f>
        <v>1602330.8753750001</v>
      </c>
      <c r="C26" s="87">
        <f t="shared" ref="C26" si="25">SUM(C22:C25)</f>
        <v>1636010.2662500001</v>
      </c>
      <c r="D26" s="87">
        <f t="shared" si="24"/>
        <v>1758745.5249999999</v>
      </c>
    </row>
    <row r="27" spans="1:4" hidden="1">
      <c r="A27" s="29" t="s">
        <v>41</v>
      </c>
      <c r="B27" s="25">
        <f t="shared" ref="B27:D27" si="26">(B8+B9+B10)*14.9%</f>
        <v>4297956.4050000003</v>
      </c>
      <c r="C27" s="25">
        <f t="shared" ref="C27" si="27">(C8+C9+C10)*14.9%</f>
        <v>4319502.55</v>
      </c>
      <c r="D27" s="25">
        <f t="shared" si="26"/>
        <v>4668617</v>
      </c>
    </row>
    <row r="28" spans="1:4" hidden="1">
      <c r="A28" s="29" t="s">
        <v>42</v>
      </c>
      <c r="B28" s="25">
        <f t="shared" ref="B28:D28" si="28">(B11+B12)*14.9%</f>
        <v>253300</v>
      </c>
      <c r="C28" s="25">
        <f t="shared" ref="C28" si="29">(C11+C12)*14.9%</f>
        <v>321318.5</v>
      </c>
      <c r="D28" s="25">
        <f t="shared" si="28"/>
        <v>322585</v>
      </c>
    </row>
    <row r="29" spans="1:4" hidden="1">
      <c r="A29" s="29" t="s">
        <v>39</v>
      </c>
      <c r="B29" s="25">
        <f t="shared" ref="B29:D29" si="30">B27*4.35%</f>
        <v>186961.10361749999</v>
      </c>
      <c r="C29" s="25">
        <f t="shared" ref="C29" si="31">C27*4.35%</f>
        <v>187898.36092499999</v>
      </c>
      <c r="D29" s="25">
        <f t="shared" si="30"/>
        <v>203084.83949999997</v>
      </c>
    </row>
    <row r="30" spans="1:4" ht="16.5" hidden="1" thickBot="1">
      <c r="A30" s="85" t="s">
        <v>40</v>
      </c>
      <c r="B30" s="26">
        <f t="shared" ref="B30:D30" si="32">B28*14.5%</f>
        <v>36728.5</v>
      </c>
      <c r="C30" s="26">
        <f t="shared" ref="C30" si="33">C28*14.5%</f>
        <v>46591.182499999995</v>
      </c>
      <c r="D30" s="26">
        <f t="shared" si="32"/>
        <v>46774.824999999997</v>
      </c>
    </row>
    <row r="31" spans="1:4" ht="32.25" thickBot="1">
      <c r="A31" s="62" t="s">
        <v>16</v>
      </c>
      <c r="B31" s="88">
        <f>SUM(B27:B30)</f>
        <v>4774946.0086174998</v>
      </c>
      <c r="C31" s="88">
        <f>SUM(C27:C30)</f>
        <v>4875310.5934250001</v>
      </c>
      <c r="D31" s="88">
        <f>SUM(D27:D30)</f>
        <v>5241061.6645</v>
      </c>
    </row>
    <row r="32" spans="1:4" ht="16.5" thickBot="1"/>
    <row r="33" spans="1:4" ht="21" customHeight="1">
      <c r="A33" s="93" t="s">
        <v>34</v>
      </c>
      <c r="B33" s="96">
        <v>15250</v>
      </c>
      <c r="C33" s="78">
        <v>15250</v>
      </c>
      <c r="D33" s="79">
        <v>15250</v>
      </c>
    </row>
    <row r="34" spans="1:4" ht="21" customHeight="1">
      <c r="A34" s="94" t="s">
        <v>4</v>
      </c>
      <c r="B34" s="98">
        <v>65</v>
      </c>
      <c r="C34" s="75">
        <v>65</v>
      </c>
      <c r="D34" s="81">
        <v>65</v>
      </c>
    </row>
    <row r="35" spans="1:4" ht="21" customHeight="1" thickBot="1">
      <c r="A35" s="95" t="s">
        <v>26</v>
      </c>
      <c r="B35" s="100">
        <v>0</v>
      </c>
      <c r="C35" s="83">
        <v>250</v>
      </c>
      <c r="D35" s="84">
        <v>250</v>
      </c>
    </row>
    <row r="36" spans="1:4" s="37" customFormat="1" ht="19.5" customHeight="1" thickBot="1">
      <c r="A36" s="89" t="s">
        <v>46</v>
      </c>
      <c r="B36" s="90"/>
      <c r="C36" s="73"/>
      <c r="D36" s="74"/>
    </row>
    <row r="37" spans="1:4" s="37" customFormat="1" ht="19.5" customHeight="1" thickBot="1">
      <c r="A37" s="32" t="s">
        <v>45</v>
      </c>
      <c r="B37" s="40"/>
      <c r="C37" s="41"/>
      <c r="D37" s="41"/>
    </row>
    <row r="38" spans="1:4" s="37" customFormat="1" ht="19.5" customHeight="1" thickBot="1">
      <c r="A38" s="31" t="s">
        <v>54</v>
      </c>
      <c r="B38" s="38"/>
      <c r="C38" s="38"/>
      <c r="D38" s="39"/>
    </row>
    <row r="39" spans="1:4">
      <c r="C39" s="20"/>
      <c r="D39" s="20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2" workbookViewId="0">
      <selection activeCell="H38" sqref="H38"/>
    </sheetView>
  </sheetViews>
  <sheetFormatPr defaultRowHeight="15.75"/>
  <cols>
    <col min="1" max="1" width="42.85546875" style="19" customWidth="1"/>
    <col min="2" max="4" width="14.28515625" style="19" customWidth="1"/>
    <col min="5" max="16384" width="9.140625" style="20"/>
  </cols>
  <sheetData>
    <row r="1" spans="1:4" ht="15" hidden="1" customHeight="1"/>
    <row r="2" spans="1:4" ht="16.5" thickBot="1"/>
    <row r="3" spans="1:4" s="37" customFormat="1" ht="24.75" customHeight="1" thickBot="1">
      <c r="A3" s="76" t="s">
        <v>55</v>
      </c>
      <c r="B3" s="43"/>
      <c r="C3" s="43"/>
      <c r="D3" s="44"/>
    </row>
    <row r="4" spans="1:4" s="37" customFormat="1" ht="28.5" customHeight="1" thickBot="1">
      <c r="A4" s="22" t="s">
        <v>0</v>
      </c>
      <c r="B4" s="22" t="s">
        <v>20</v>
      </c>
      <c r="C4" s="22" t="s">
        <v>56</v>
      </c>
      <c r="D4" s="22" t="s">
        <v>57</v>
      </c>
    </row>
    <row r="5" spans="1:4" ht="20.25" customHeight="1">
      <c r="A5" s="27" t="s">
        <v>35</v>
      </c>
      <c r="B5" s="23">
        <v>2302</v>
      </c>
      <c r="C5" s="23">
        <v>2906</v>
      </c>
      <c r="D5" s="23">
        <v>601</v>
      </c>
    </row>
    <row r="6" spans="1:4" ht="20.25" customHeight="1">
      <c r="A6" s="29" t="s">
        <v>1</v>
      </c>
      <c r="B6" s="24">
        <v>23</v>
      </c>
      <c r="C6" s="24">
        <v>29</v>
      </c>
      <c r="D6" s="24">
        <v>6</v>
      </c>
    </row>
    <row r="7" spans="1:4" ht="20.25" customHeight="1">
      <c r="A7" s="29" t="s">
        <v>2</v>
      </c>
      <c r="B7" s="25">
        <v>2229</v>
      </c>
      <c r="C7" s="25">
        <v>3959</v>
      </c>
      <c r="D7" s="25">
        <v>4846</v>
      </c>
    </row>
    <row r="8" spans="1:4" ht="20.25" customHeight="1">
      <c r="A8" s="29" t="s">
        <v>3</v>
      </c>
      <c r="B8" s="25">
        <f t="shared" ref="B8:D8" si="0">B7*B33</f>
        <v>36778500</v>
      </c>
      <c r="C8" s="25">
        <f t="shared" si="0"/>
        <v>65323500</v>
      </c>
      <c r="D8" s="25">
        <f t="shared" si="0"/>
        <v>79959000</v>
      </c>
    </row>
    <row r="9" spans="1:4" ht="20.25" customHeight="1">
      <c r="A9" s="29" t="s">
        <v>4</v>
      </c>
      <c r="B9" s="25">
        <f t="shared" ref="B9:D9" si="1">(B6)*B34*B7</f>
        <v>5126700</v>
      </c>
      <c r="C9" s="25">
        <f t="shared" si="1"/>
        <v>11481100</v>
      </c>
      <c r="D9" s="25">
        <f t="shared" si="1"/>
        <v>2907600</v>
      </c>
    </row>
    <row r="10" spans="1:4" ht="20.25" customHeight="1">
      <c r="A10" s="29" t="s">
        <v>32</v>
      </c>
      <c r="B10" s="25">
        <v>550000</v>
      </c>
      <c r="C10" s="25">
        <v>550000</v>
      </c>
      <c r="D10" s="25">
        <v>550000</v>
      </c>
    </row>
    <row r="11" spans="1:4" ht="20.25" customHeight="1">
      <c r="A11" s="29" t="s">
        <v>26</v>
      </c>
      <c r="B11" s="25">
        <v>0</v>
      </c>
      <c r="C11" s="25">
        <f>250*C7</f>
        <v>989750</v>
      </c>
      <c r="D11" s="25">
        <v>0</v>
      </c>
    </row>
    <row r="12" spans="1:4" ht="20.25" customHeight="1" thickBot="1">
      <c r="A12" s="85" t="s">
        <v>36</v>
      </c>
      <c r="B12" s="26">
        <v>1700000</v>
      </c>
      <c r="C12" s="26">
        <v>2550000</v>
      </c>
      <c r="D12" s="26">
        <v>3400000</v>
      </c>
    </row>
    <row r="13" spans="1:4" ht="22.5" customHeight="1" thickBot="1">
      <c r="A13" s="17" t="s">
        <v>6</v>
      </c>
      <c r="B13" s="18">
        <f t="shared" ref="B13:D13" si="2">SUM(B8:B12)</f>
        <v>44155200</v>
      </c>
      <c r="C13" s="18">
        <f t="shared" si="2"/>
        <v>80894350</v>
      </c>
      <c r="D13" s="18">
        <f t="shared" si="2"/>
        <v>86816600</v>
      </c>
    </row>
    <row r="14" spans="1:4" ht="19.5" customHeight="1">
      <c r="A14" s="27" t="s">
        <v>7</v>
      </c>
      <c r="B14" s="28">
        <f t="shared" ref="B14:D14" si="3">B13*5%</f>
        <v>2207760</v>
      </c>
      <c r="C14" s="28">
        <f t="shared" si="3"/>
        <v>4044717.5</v>
      </c>
      <c r="D14" s="28">
        <f t="shared" si="3"/>
        <v>4340830</v>
      </c>
    </row>
    <row r="15" spans="1:4" ht="19.5" customHeight="1">
      <c r="A15" s="29" t="s">
        <v>8</v>
      </c>
      <c r="B15" s="25">
        <f t="shared" ref="B15:D15" si="4">B13*1%</f>
        <v>441552</v>
      </c>
      <c r="C15" s="25">
        <f t="shared" si="4"/>
        <v>808943.5</v>
      </c>
      <c r="D15" s="25">
        <f t="shared" si="4"/>
        <v>868166</v>
      </c>
    </row>
    <row r="16" spans="1:4" ht="32.25" customHeight="1">
      <c r="A16" s="29" t="s">
        <v>52</v>
      </c>
      <c r="B16" s="25">
        <f t="shared" ref="B16:D16" si="5">(B8+B9+B10)*4.35%+(B11+B12)*14.5%</f>
        <v>2093301.2</v>
      </c>
      <c r="C16" s="25">
        <f t="shared" si="5"/>
        <v>3878188.8499999996</v>
      </c>
      <c r="D16" s="25">
        <f t="shared" si="5"/>
        <v>4121622.0999999996</v>
      </c>
    </row>
    <row r="17" spans="1:4" ht="19.5" customHeight="1">
      <c r="A17" s="29" t="s">
        <v>9</v>
      </c>
      <c r="B17" s="25">
        <v>30000</v>
      </c>
      <c r="C17" s="25">
        <v>30000</v>
      </c>
      <c r="D17" s="25">
        <v>30000</v>
      </c>
    </row>
    <row r="18" spans="1:4" ht="31.5">
      <c r="A18" s="29" t="s">
        <v>10</v>
      </c>
      <c r="B18" s="25">
        <f t="shared" ref="B18:D18" si="6">10*B7*12</f>
        <v>267480</v>
      </c>
      <c r="C18" s="25">
        <f t="shared" si="6"/>
        <v>475080</v>
      </c>
      <c r="D18" s="25">
        <f t="shared" si="6"/>
        <v>581520</v>
      </c>
    </row>
    <row r="19" spans="1:4" ht="16.5" thickBot="1">
      <c r="A19" s="85" t="s">
        <v>11</v>
      </c>
      <c r="B19" s="26">
        <v>100600</v>
      </c>
      <c r="C19" s="26">
        <v>100600</v>
      </c>
      <c r="D19" s="26">
        <v>100600</v>
      </c>
    </row>
    <row r="20" spans="1:4" ht="21" customHeight="1" thickBot="1">
      <c r="A20" s="15" t="s">
        <v>12</v>
      </c>
      <c r="B20" s="16">
        <f t="shared" ref="B20:D20" si="7">SUM(B13:B19)</f>
        <v>49295893.200000003</v>
      </c>
      <c r="C20" s="16">
        <f t="shared" si="7"/>
        <v>90231879.849999994</v>
      </c>
      <c r="D20" s="16">
        <f t="shared" si="7"/>
        <v>96859338.099999994</v>
      </c>
    </row>
    <row r="21" spans="1:4" ht="16.5" thickBot="1"/>
    <row r="22" spans="1:4" ht="16.5" hidden="1" thickBot="1">
      <c r="A22" s="27" t="s">
        <v>37</v>
      </c>
      <c r="B22" s="28">
        <f t="shared" ref="B22:D22" si="8">(B8+B9+B10)*5%</f>
        <v>2122760</v>
      </c>
      <c r="C22" s="28">
        <f t="shared" si="8"/>
        <v>3867730</v>
      </c>
      <c r="D22" s="28">
        <f t="shared" si="8"/>
        <v>4170830</v>
      </c>
    </row>
    <row r="23" spans="1:4" ht="16.5" hidden="1" thickBot="1">
      <c r="A23" s="29" t="s">
        <v>38</v>
      </c>
      <c r="B23" s="25">
        <f t="shared" ref="B23:D23" si="9">(B11+B12)*5%</f>
        <v>85000</v>
      </c>
      <c r="C23" s="25">
        <f t="shared" si="9"/>
        <v>176987.5</v>
      </c>
      <c r="D23" s="25">
        <f t="shared" si="9"/>
        <v>170000</v>
      </c>
    </row>
    <row r="24" spans="1:4" ht="16.5" hidden="1" thickBot="1">
      <c r="A24" s="29" t="s">
        <v>39</v>
      </c>
      <c r="B24" s="25">
        <f t="shared" ref="B24:D24" si="10">B22*4.35%</f>
        <v>92340.06</v>
      </c>
      <c r="C24" s="25">
        <f t="shared" si="10"/>
        <v>168246.25499999998</v>
      </c>
      <c r="D24" s="25">
        <f t="shared" si="10"/>
        <v>181431.10499999998</v>
      </c>
    </row>
    <row r="25" spans="1:4" ht="16.5" hidden="1" thickBot="1">
      <c r="A25" s="85" t="s">
        <v>40</v>
      </c>
      <c r="B25" s="26">
        <f t="shared" ref="B25:D25" si="11">B23*14.5%</f>
        <v>12325</v>
      </c>
      <c r="C25" s="26">
        <f t="shared" si="11"/>
        <v>25663.1875</v>
      </c>
      <c r="D25" s="26">
        <f t="shared" si="11"/>
        <v>24650</v>
      </c>
    </row>
    <row r="26" spans="1:4" ht="16.5" thickBot="1">
      <c r="A26" s="86" t="s">
        <v>14</v>
      </c>
      <c r="B26" s="87">
        <f t="shared" ref="B26:D26" si="12">SUM(B22:B25)</f>
        <v>2312425.06</v>
      </c>
      <c r="C26" s="87">
        <f t="shared" si="12"/>
        <v>4238626.9424999999</v>
      </c>
      <c r="D26" s="87">
        <f t="shared" si="12"/>
        <v>4546911.1050000004</v>
      </c>
    </row>
    <row r="27" spans="1:4" ht="16.5" hidden="1" thickBot="1">
      <c r="A27" s="29" t="s">
        <v>41</v>
      </c>
      <c r="B27" s="25">
        <f t="shared" ref="B27:D27" si="13">(B8+B9+B10)*14.9%</f>
        <v>6325824.7999999998</v>
      </c>
      <c r="C27" s="25">
        <f t="shared" si="13"/>
        <v>11525835.4</v>
      </c>
      <c r="D27" s="25">
        <f t="shared" si="13"/>
        <v>12429073.4</v>
      </c>
    </row>
    <row r="28" spans="1:4" ht="16.5" hidden="1" thickBot="1">
      <c r="A28" s="29" t="s">
        <v>42</v>
      </c>
      <c r="B28" s="25">
        <f t="shared" ref="B28:D28" si="14">(B11+B12)*14.9%</f>
        <v>253300</v>
      </c>
      <c r="C28" s="25">
        <f t="shared" si="14"/>
        <v>527422.75</v>
      </c>
      <c r="D28" s="25">
        <f t="shared" si="14"/>
        <v>506600</v>
      </c>
    </row>
    <row r="29" spans="1:4" ht="16.5" hidden="1" thickBot="1">
      <c r="A29" s="29" t="s">
        <v>39</v>
      </c>
      <c r="B29" s="25">
        <f t="shared" ref="B29:D29" si="15">B27*4.35%</f>
        <v>275173.37879999995</v>
      </c>
      <c r="C29" s="25">
        <f t="shared" si="15"/>
        <v>501373.83989999996</v>
      </c>
      <c r="D29" s="25">
        <f t="shared" si="15"/>
        <v>540664.69290000002</v>
      </c>
    </row>
    <row r="30" spans="1:4" ht="16.5" hidden="1" thickBot="1">
      <c r="A30" s="85" t="s">
        <v>40</v>
      </c>
      <c r="B30" s="26">
        <f t="shared" ref="B30:D30" si="16">B28*14.5%</f>
        <v>36728.5</v>
      </c>
      <c r="C30" s="26">
        <f t="shared" si="16"/>
        <v>76476.298750000002</v>
      </c>
      <c r="D30" s="26">
        <f t="shared" si="16"/>
        <v>73457</v>
      </c>
    </row>
    <row r="31" spans="1:4" ht="32.25" thickBot="1">
      <c r="A31" s="62" t="s">
        <v>16</v>
      </c>
      <c r="B31" s="88">
        <f>SUM(B27:B30)</f>
        <v>6891026.6787999999</v>
      </c>
      <c r="C31" s="88">
        <f>SUM(C27:C30)</f>
        <v>12631108.28865</v>
      </c>
      <c r="D31" s="88">
        <f>SUM(D27:D30)</f>
        <v>13549795.092900001</v>
      </c>
    </row>
    <row r="32" spans="1:4" ht="16.5" thickBot="1"/>
    <row r="33" spans="1:4" ht="21" customHeight="1">
      <c r="A33" s="93" t="s">
        <v>34</v>
      </c>
      <c r="B33" s="96">
        <v>16500</v>
      </c>
      <c r="C33" s="91">
        <v>16500</v>
      </c>
      <c r="D33" s="97">
        <v>16500</v>
      </c>
    </row>
    <row r="34" spans="1:4" ht="21" customHeight="1">
      <c r="A34" s="94" t="s">
        <v>4</v>
      </c>
      <c r="B34" s="98">
        <v>100</v>
      </c>
      <c r="C34" s="92">
        <v>100</v>
      </c>
      <c r="D34" s="99">
        <v>100</v>
      </c>
    </row>
    <row r="35" spans="1:4" ht="21" customHeight="1" thickBot="1">
      <c r="A35" s="95" t="s">
        <v>26</v>
      </c>
      <c r="B35" s="100">
        <v>0</v>
      </c>
      <c r="C35" s="83">
        <v>250</v>
      </c>
      <c r="D35" s="84">
        <v>0</v>
      </c>
    </row>
    <row r="36" spans="1:4" s="37" customFormat="1" ht="19.5" customHeight="1" thickBot="1">
      <c r="A36" s="89" t="s">
        <v>46</v>
      </c>
      <c r="B36" s="90"/>
      <c r="C36" s="73"/>
      <c r="D36" s="74"/>
    </row>
    <row r="37" spans="1:4" s="37" customFormat="1" ht="19.5" customHeight="1" thickBot="1">
      <c r="A37" s="32" t="s">
        <v>45</v>
      </c>
      <c r="B37" s="40"/>
      <c r="C37" s="41"/>
      <c r="D37" s="41"/>
    </row>
    <row r="38" spans="1:4" s="37" customFormat="1" ht="19.5" customHeight="1" thickBot="1">
      <c r="A38" s="31" t="s">
        <v>58</v>
      </c>
      <c r="B38" s="38"/>
      <c r="C38" s="38"/>
      <c r="D38" s="39"/>
    </row>
    <row r="39" spans="1:4">
      <c r="C39" s="20"/>
      <c r="D39" s="2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Tower A</vt:lpstr>
      <vt:lpstr>Alta Monte Tower A</vt:lpstr>
      <vt:lpstr>Alta Monte Tower B</vt:lpstr>
      <vt:lpstr>Alta Monte Tower C</vt:lpstr>
      <vt:lpstr>Alta Monte Tower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shabnam.shah</dc:creator>
  <cp:lastModifiedBy>Sameer</cp:lastModifiedBy>
  <cp:lastPrinted>2016-08-13T05:55:34Z</cp:lastPrinted>
  <dcterms:created xsi:type="dcterms:W3CDTF">2012-05-31T11:32:17Z</dcterms:created>
  <dcterms:modified xsi:type="dcterms:W3CDTF">2017-03-14T02:58:10Z</dcterms:modified>
</cp:coreProperties>
</file>